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updateLinks="never"/>
  <mc:AlternateContent xmlns:mc="http://schemas.openxmlformats.org/markup-compatibility/2006">
    <mc:Choice Requires="x15">
      <x15ac:absPath xmlns:x15ac="http://schemas.microsoft.com/office/spreadsheetml/2010/11/ac" url="C:\Users\paula\Downloads\"/>
    </mc:Choice>
  </mc:AlternateContent>
  <xr:revisionPtr revIDLastSave="0" documentId="13_ncr:1_{5BBB4FAA-166A-4E93-890E-1B1640DB425D}" xr6:coauthVersionLast="47" xr6:coauthVersionMax="47" xr10:uidLastSave="{00000000-0000-0000-0000-000000000000}"/>
  <bookViews>
    <workbookView xWindow="-110" yWindow="-110" windowWidth="19420" windowHeight="10420" tabRatio="668" firstSheet="1" activeTab="1" xr2:uid="{00000000-000D-0000-FFFF-FFFF00000000}"/>
  </bookViews>
  <sheets>
    <sheet name="Listas" sheetId="16" state="hidden" r:id="rId1"/>
    <sheet name="Matriz de Riesgos" sheetId="1" r:id="rId2"/>
    <sheet name="Mapa de Calor inherente" sheetId="18" state="hidden" r:id="rId3"/>
    <sheet name="Descripción Riesgo" sheetId="14"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2">'Mapa de Calor inherente'!$D$27:$D$29</definedName>
    <definedName name="Corrupción">Listas!$B$11:$B$13</definedName>
    <definedName name="D_Fallas_Tecnológicas">Listas!$C$26</definedName>
    <definedName name="Definicion_tratamiento">'[1]11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'[2]Mapa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'[1]11 FORMULAS'!#REF!</definedName>
    <definedName name="Plan_acción">'[1]11 FORMULAS'!#REF!</definedName>
    <definedName name="Plan_de_acción">'[1]11 FORMULAS'!#REF!</definedName>
    <definedName name="PROB">'Mapa de Calor inherente'!$Q$7:$Q$11</definedName>
    <definedName name="Reputacional">'Mapa de Calor inherente'!$B$27:$B$31</definedName>
    <definedName name="RINHERENTE">'[2]Mapa de calor'!$F$12:$K$17</definedName>
    <definedName name="Seguridad_de_la_Información">Listas!$D$11:$D$13</definedName>
    <definedName name="Tipo">'[1]11 FORMULAS'!$A$4:$A$11</definedName>
    <definedName name="TIPOLOGÍA">Listas!$A$15:$A$34</definedName>
    <definedName name="_xlnm.Print_Titles" localSheetId="1">'Matriz de Riesgos'!$1:$11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1" l="1"/>
  <c r="Q352" i="1"/>
  <c r="Q342" i="1"/>
  <c r="Q332" i="1"/>
  <c r="Q322" i="1"/>
  <c r="X182" i="1"/>
  <c r="Y182" i="1"/>
  <c r="AA182" i="1"/>
  <c r="AB182" i="1"/>
  <c r="X183" i="1"/>
  <c r="Y183" i="1"/>
  <c r="AA183" i="1"/>
  <c r="AB183" i="1"/>
  <c r="X184" i="1"/>
  <c r="Y184" i="1"/>
  <c r="AA184" i="1"/>
  <c r="AB184" i="1"/>
  <c r="Y13" i="1"/>
  <c r="AA317" i="1"/>
  <c r="Y317" i="1"/>
  <c r="X317" i="1"/>
  <c r="AB317" i="1"/>
  <c r="AA316" i="1"/>
  <c r="Y316" i="1"/>
  <c r="X316" i="1"/>
  <c r="AB316" i="1"/>
  <c r="AA315" i="1"/>
  <c r="Y315" i="1"/>
  <c r="X315" i="1"/>
  <c r="AB315" i="1"/>
  <c r="AA314" i="1"/>
  <c r="Y314" i="1"/>
  <c r="X314" i="1"/>
  <c r="AB314" i="1"/>
  <c r="AA313" i="1"/>
  <c r="Y313" i="1"/>
  <c r="X313" i="1"/>
  <c r="AB313" i="1"/>
  <c r="AA312" i="1"/>
  <c r="Y312" i="1"/>
  <c r="X312" i="1"/>
  <c r="AB312" i="1"/>
  <c r="AA1021" i="1"/>
  <c r="Y1021" i="1"/>
  <c r="X1021" i="1"/>
  <c r="AB1021" i="1"/>
  <c r="AA1020" i="1"/>
  <c r="Y1020" i="1"/>
  <c r="X1020" i="1"/>
  <c r="AA1019" i="1"/>
  <c r="Y1019" i="1"/>
  <c r="X1019" i="1"/>
  <c r="AA1018" i="1"/>
  <c r="Y1018" i="1"/>
  <c r="X1018" i="1"/>
  <c r="AB1018" i="1"/>
  <c r="AA1017" i="1"/>
  <c r="Y1017" i="1"/>
  <c r="X1017" i="1"/>
  <c r="AB1017" i="1"/>
  <c r="AA1016" i="1"/>
  <c r="Y1016" i="1"/>
  <c r="X1016" i="1"/>
  <c r="AA1015" i="1"/>
  <c r="Y1015" i="1"/>
  <c r="X1015" i="1"/>
  <c r="AA1014" i="1"/>
  <c r="Y1014" i="1"/>
  <c r="X1014" i="1"/>
  <c r="AB1014" i="1"/>
  <c r="AA1013" i="1"/>
  <c r="Y1013" i="1"/>
  <c r="X1013" i="1"/>
  <c r="AB1013" i="1"/>
  <c r="AB1012" i="1"/>
  <c r="AA1012" i="1"/>
  <c r="Y1012" i="1"/>
  <c r="X1012" i="1"/>
  <c r="R1012" i="1"/>
  <c r="Q1012" i="1"/>
  <c r="O1012" i="1"/>
  <c r="N1012" i="1"/>
  <c r="T1012" i="1"/>
  <c r="AA1011" i="1"/>
  <c r="Y1011" i="1"/>
  <c r="X1011" i="1"/>
  <c r="AA1010" i="1"/>
  <c r="Y1010" i="1"/>
  <c r="X1010" i="1"/>
  <c r="AA1009" i="1"/>
  <c r="Y1009" i="1"/>
  <c r="X1009" i="1"/>
  <c r="AB1009" i="1"/>
  <c r="AA1008" i="1"/>
  <c r="Y1008" i="1"/>
  <c r="X1008" i="1"/>
  <c r="AB1008" i="1"/>
  <c r="AA1007" i="1"/>
  <c r="Y1007" i="1"/>
  <c r="X1007" i="1"/>
  <c r="AA1006" i="1"/>
  <c r="Y1006" i="1"/>
  <c r="X1006" i="1"/>
  <c r="AA1005" i="1"/>
  <c r="Y1005" i="1"/>
  <c r="X1005" i="1"/>
  <c r="AB1005" i="1"/>
  <c r="AA1004" i="1"/>
  <c r="Y1004" i="1"/>
  <c r="X1004" i="1"/>
  <c r="AB1004" i="1"/>
  <c r="AA1003" i="1"/>
  <c r="Y1003" i="1"/>
  <c r="X1003" i="1"/>
  <c r="AA1002" i="1"/>
  <c r="Y1002" i="1"/>
  <c r="X1002" i="1"/>
  <c r="R1002" i="1"/>
  <c r="Q1002" i="1"/>
  <c r="O1002" i="1"/>
  <c r="N1002" i="1"/>
  <c r="T1002" i="1"/>
  <c r="AB1002" i="1"/>
  <c r="AG1002" i="1"/>
  <c r="AF1002" i="1"/>
  <c r="AJ1002" i="1"/>
  <c r="AI1002" i="1"/>
  <c r="AB1003" i="1"/>
  <c r="AB1007" i="1"/>
  <c r="AB1011" i="1"/>
  <c r="AG1012" i="1"/>
  <c r="AF1012" i="1"/>
  <c r="AB1016" i="1"/>
  <c r="AB1020" i="1"/>
  <c r="AB1006" i="1"/>
  <c r="AB1010" i="1"/>
  <c r="AB1015" i="1"/>
  <c r="AB1019" i="1"/>
  <c r="AJ1012" i="1"/>
  <c r="AI1012" i="1"/>
  <c r="AJ1003" i="1"/>
  <c r="AI1003" i="1"/>
  <c r="AJ1004" i="1"/>
  <c r="AI1004" i="1"/>
  <c r="AG1003" i="1"/>
  <c r="AF1003" i="1"/>
  <c r="AJ1005" i="1"/>
  <c r="AI1005" i="1"/>
  <c r="AG1013" i="1"/>
  <c r="AJ1013" i="1"/>
  <c r="AJ1006" i="1"/>
  <c r="AG1004" i="1"/>
  <c r="AF1004" i="1"/>
  <c r="AF1013" i="1"/>
  <c r="AG1014" i="1"/>
  <c r="AI1006" i="1"/>
  <c r="AJ1007" i="1"/>
  <c r="AI1013" i="1"/>
  <c r="AJ1014" i="1"/>
  <c r="AG1005" i="1"/>
  <c r="AF1014" i="1"/>
  <c r="AG1015" i="1"/>
  <c r="AI1014" i="1"/>
  <c r="AJ1015" i="1"/>
  <c r="AF1005" i="1"/>
  <c r="AG1006" i="1"/>
  <c r="AI1007" i="1"/>
  <c r="AJ1008" i="1"/>
  <c r="AF1015" i="1"/>
  <c r="AG1016" i="1"/>
  <c r="AF1006" i="1"/>
  <c r="AG1007" i="1"/>
  <c r="AI1008" i="1"/>
  <c r="AJ1009" i="1"/>
  <c r="AI1015" i="1"/>
  <c r="AJ1016" i="1"/>
  <c r="AF1016" i="1"/>
  <c r="AG1017" i="1"/>
  <c r="AI1016" i="1"/>
  <c r="AJ1017" i="1"/>
  <c r="AF1007" i="1"/>
  <c r="AG1008" i="1"/>
  <c r="AI1009" i="1"/>
  <c r="AJ1010" i="1"/>
  <c r="AF1017" i="1"/>
  <c r="AG1018" i="1"/>
  <c r="AF1008" i="1"/>
  <c r="AG1009" i="1"/>
  <c r="AI1010" i="1"/>
  <c r="AJ1011" i="1"/>
  <c r="AI1017" i="1"/>
  <c r="AJ1018" i="1"/>
  <c r="AF1018" i="1"/>
  <c r="AG1019" i="1"/>
  <c r="AI1018" i="1"/>
  <c r="AJ1019" i="1"/>
  <c r="AF1009" i="1"/>
  <c r="AG1010" i="1"/>
  <c r="AK1002" i="1"/>
  <c r="AM1002" i="1"/>
  <c r="AI1011" i="1"/>
  <c r="AF1019" i="1"/>
  <c r="AG1020" i="1"/>
  <c r="AF1010" i="1"/>
  <c r="AG1011" i="1"/>
  <c r="AI1019" i="1"/>
  <c r="AJ1020" i="1"/>
  <c r="AG1021" i="1"/>
  <c r="AF1020" i="1"/>
  <c r="AH1002" i="1"/>
  <c r="AL1002" i="1"/>
  <c r="AN1002" i="1"/>
  <c r="AP1002" i="1"/>
  <c r="AO1002" i="1"/>
  <c r="AF1011" i="1"/>
  <c r="AI1020" i="1"/>
  <c r="AJ1021" i="1"/>
  <c r="AH1012" i="1"/>
  <c r="AL1012" i="1"/>
  <c r="AF1021" i="1"/>
  <c r="AI1021" i="1"/>
  <c r="AK1012" i="1"/>
  <c r="AM1012" i="1"/>
  <c r="AN1012" i="1"/>
  <c r="AP1012" i="1"/>
  <c r="AO1012" i="1"/>
  <c r="AA1001" i="1"/>
  <c r="Y1001" i="1"/>
  <c r="X1001" i="1"/>
  <c r="AA1000" i="1"/>
  <c r="Y1000" i="1"/>
  <c r="X1000" i="1"/>
  <c r="AA999" i="1"/>
  <c r="Y999" i="1"/>
  <c r="X999" i="1"/>
  <c r="AA998" i="1"/>
  <c r="Y998" i="1"/>
  <c r="X998" i="1"/>
  <c r="AB998" i="1"/>
  <c r="AA997" i="1"/>
  <c r="Y997" i="1"/>
  <c r="X997" i="1"/>
  <c r="AA996" i="1"/>
  <c r="Y996" i="1"/>
  <c r="X996" i="1"/>
  <c r="AA995" i="1"/>
  <c r="Y995" i="1"/>
  <c r="X995" i="1"/>
  <c r="AA994" i="1"/>
  <c r="Y994" i="1"/>
  <c r="X994" i="1"/>
  <c r="AB994" i="1"/>
  <c r="AA993" i="1"/>
  <c r="Y993" i="1"/>
  <c r="X993" i="1"/>
  <c r="AA992" i="1"/>
  <c r="Y992" i="1"/>
  <c r="X992" i="1"/>
  <c r="R992" i="1"/>
  <c r="Q992" i="1"/>
  <c r="T992" i="1"/>
  <c r="O992" i="1"/>
  <c r="N992" i="1"/>
  <c r="AA991" i="1"/>
  <c r="Y991" i="1"/>
  <c r="X991" i="1"/>
  <c r="AA990" i="1"/>
  <c r="Y990" i="1"/>
  <c r="X990" i="1"/>
  <c r="AA989" i="1"/>
  <c r="Y989" i="1"/>
  <c r="X989" i="1"/>
  <c r="AA988" i="1"/>
  <c r="AB988" i="1"/>
  <c r="Y988" i="1"/>
  <c r="X988" i="1"/>
  <c r="AA987" i="1"/>
  <c r="Y987" i="1"/>
  <c r="X987" i="1"/>
  <c r="AA986" i="1"/>
  <c r="Y986" i="1"/>
  <c r="X986" i="1"/>
  <c r="AA985" i="1"/>
  <c r="Y985" i="1"/>
  <c r="X985" i="1"/>
  <c r="AA984" i="1"/>
  <c r="AB984" i="1"/>
  <c r="Y984" i="1"/>
  <c r="X984" i="1"/>
  <c r="AA983" i="1"/>
  <c r="Y983" i="1"/>
  <c r="X983" i="1"/>
  <c r="AA982" i="1"/>
  <c r="Y982" i="1"/>
  <c r="X982" i="1"/>
  <c r="AB982" i="1"/>
  <c r="AG982" i="1"/>
  <c r="R982" i="1"/>
  <c r="Q982" i="1"/>
  <c r="O982" i="1"/>
  <c r="N982" i="1"/>
  <c r="T982" i="1"/>
  <c r="AA981" i="1"/>
  <c r="Y981" i="1"/>
  <c r="X981" i="1"/>
  <c r="AA980" i="1"/>
  <c r="AB980" i="1"/>
  <c r="Y980" i="1"/>
  <c r="X980" i="1"/>
  <c r="AA979" i="1"/>
  <c r="Y979" i="1"/>
  <c r="X979" i="1"/>
  <c r="AA978" i="1"/>
  <c r="Y978" i="1"/>
  <c r="X978" i="1"/>
  <c r="AA977" i="1"/>
  <c r="Y977" i="1"/>
  <c r="X977" i="1"/>
  <c r="AA976" i="1"/>
  <c r="AB976" i="1"/>
  <c r="Y976" i="1"/>
  <c r="X976" i="1"/>
  <c r="AA975" i="1"/>
  <c r="Y975" i="1"/>
  <c r="X975" i="1"/>
  <c r="AA974" i="1"/>
  <c r="Y974" i="1"/>
  <c r="X974" i="1"/>
  <c r="AA973" i="1"/>
  <c r="Y973" i="1"/>
  <c r="X973" i="1"/>
  <c r="AA972" i="1"/>
  <c r="Y972" i="1"/>
  <c r="X972" i="1"/>
  <c r="R972" i="1"/>
  <c r="Q972" i="1"/>
  <c r="O972" i="1"/>
  <c r="N972" i="1"/>
  <c r="S992" i="1"/>
  <c r="AB973" i="1"/>
  <c r="AB977" i="1"/>
  <c r="AB981" i="1"/>
  <c r="AB985" i="1"/>
  <c r="AB989" i="1"/>
  <c r="AB995" i="1"/>
  <c r="AB999" i="1"/>
  <c r="AB975" i="1"/>
  <c r="AB979" i="1"/>
  <c r="AJ982" i="1"/>
  <c r="AI982" i="1"/>
  <c r="AB983" i="1"/>
  <c r="AB987" i="1"/>
  <c r="AB991" i="1"/>
  <c r="AB993" i="1"/>
  <c r="AB997" i="1"/>
  <c r="AB1001" i="1"/>
  <c r="AB978" i="1"/>
  <c r="AB986" i="1"/>
  <c r="AB990" i="1"/>
  <c r="AB992" i="1"/>
  <c r="AJ992" i="1"/>
  <c r="AI992" i="1"/>
  <c r="AB996" i="1"/>
  <c r="AB1000" i="1"/>
  <c r="AB972" i="1"/>
  <c r="AG972" i="1"/>
  <c r="AF972" i="1"/>
  <c r="AB974" i="1"/>
  <c r="AG983" i="1"/>
  <c r="AF983" i="1"/>
  <c r="AF982" i="1"/>
  <c r="AG992" i="1"/>
  <c r="AF992" i="1"/>
  <c r="AJ993" i="1"/>
  <c r="AI993" i="1"/>
  <c r="AG984" i="1"/>
  <c r="AF984" i="1"/>
  <c r="AJ972" i="1"/>
  <c r="AI972" i="1"/>
  <c r="T972" i="1"/>
  <c r="AG985" i="1"/>
  <c r="AJ983" i="1"/>
  <c r="AI983" i="1"/>
  <c r="AJ973" i="1"/>
  <c r="AI973" i="1"/>
  <c r="AG973" i="1"/>
  <c r="AF973" i="1"/>
  <c r="AG993" i="1"/>
  <c r="AF993" i="1"/>
  <c r="AJ994" i="1"/>
  <c r="AI994" i="1"/>
  <c r="AF985" i="1"/>
  <c r="AG986" i="1"/>
  <c r="AJ984" i="1"/>
  <c r="AJ974" i="1"/>
  <c r="AG994" i="1"/>
  <c r="AG974" i="1"/>
  <c r="AJ995" i="1"/>
  <c r="AI995" i="1"/>
  <c r="AI974" i="1"/>
  <c r="AJ975" i="1"/>
  <c r="AF974" i="1"/>
  <c r="AG975" i="1"/>
  <c r="AI984" i="1"/>
  <c r="AJ985" i="1"/>
  <c r="AF986" i="1"/>
  <c r="AG987" i="1"/>
  <c r="AF994" i="1"/>
  <c r="AG995" i="1"/>
  <c r="AJ996" i="1"/>
  <c r="AI996" i="1"/>
  <c r="AJ997" i="1"/>
  <c r="AF995" i="1"/>
  <c r="AG996" i="1"/>
  <c r="AI985" i="1"/>
  <c r="AJ986" i="1"/>
  <c r="AI975" i="1"/>
  <c r="AJ976" i="1"/>
  <c r="AF987" i="1"/>
  <c r="AG988" i="1"/>
  <c r="AF975" i="1"/>
  <c r="AG976" i="1"/>
  <c r="AF976" i="1"/>
  <c r="AG977" i="1"/>
  <c r="AI976" i="1"/>
  <c r="AJ977" i="1"/>
  <c r="AF996" i="1"/>
  <c r="AG997" i="1"/>
  <c r="AF988" i="1"/>
  <c r="AG989" i="1"/>
  <c r="AI986" i="1"/>
  <c r="AJ987" i="1"/>
  <c r="AI997" i="1"/>
  <c r="AJ998" i="1"/>
  <c r="AI998" i="1"/>
  <c r="AJ999" i="1"/>
  <c r="AF989" i="1"/>
  <c r="AG990" i="1"/>
  <c r="AI977" i="1"/>
  <c r="AJ978" i="1"/>
  <c r="AI987" i="1"/>
  <c r="AJ988" i="1"/>
  <c r="AF997" i="1"/>
  <c r="AG998" i="1"/>
  <c r="AF977" i="1"/>
  <c r="AG978" i="1"/>
  <c r="AF978" i="1"/>
  <c r="AG979" i="1"/>
  <c r="AI988" i="1"/>
  <c r="AJ989" i="1"/>
  <c r="AF990" i="1"/>
  <c r="AG991" i="1"/>
  <c r="AF998" i="1"/>
  <c r="AG999" i="1"/>
  <c r="AI978" i="1"/>
  <c r="AJ979" i="1"/>
  <c r="AI999" i="1"/>
  <c r="AJ1000" i="1"/>
  <c r="AI1000" i="1"/>
  <c r="AJ1001" i="1"/>
  <c r="AF999" i="1"/>
  <c r="AG1000" i="1"/>
  <c r="AI979" i="1"/>
  <c r="AJ980" i="1"/>
  <c r="AF991" i="1"/>
  <c r="AH982" i="1"/>
  <c r="AL982" i="1"/>
  <c r="AF979" i="1"/>
  <c r="AG980" i="1"/>
  <c r="AI989" i="1"/>
  <c r="AJ990" i="1"/>
  <c r="AF980" i="1"/>
  <c r="AG981" i="1"/>
  <c r="AI980" i="1"/>
  <c r="AJ981" i="1"/>
  <c r="AI1001" i="1"/>
  <c r="AK992" i="1"/>
  <c r="AM992" i="1"/>
  <c r="AI990" i="1"/>
  <c r="AJ991" i="1"/>
  <c r="AF1000" i="1"/>
  <c r="AG1001" i="1"/>
  <c r="AK982" i="1"/>
  <c r="AM982" i="1"/>
  <c r="AN982" i="1"/>
  <c r="AP982" i="1"/>
  <c r="AO982" i="1"/>
  <c r="AI991" i="1"/>
  <c r="AK972" i="1"/>
  <c r="AM972" i="1"/>
  <c r="AI981" i="1"/>
  <c r="AH992" i="1"/>
  <c r="AL992" i="1"/>
  <c r="AN992" i="1"/>
  <c r="AP992" i="1"/>
  <c r="AO992" i="1"/>
  <c r="AF1001" i="1"/>
  <c r="AF981" i="1"/>
  <c r="AH972" i="1"/>
  <c r="AL972" i="1"/>
  <c r="AN972" i="1"/>
  <c r="AP972" i="1"/>
  <c r="AO972" i="1"/>
  <c r="AA971" i="1"/>
  <c r="Y971" i="1"/>
  <c r="X971" i="1"/>
  <c r="AA970" i="1"/>
  <c r="Y970" i="1"/>
  <c r="X970" i="1"/>
  <c r="AA969" i="1"/>
  <c r="Y969" i="1"/>
  <c r="X969" i="1"/>
  <c r="AA968" i="1"/>
  <c r="Y968" i="1"/>
  <c r="X968" i="1"/>
  <c r="AB968" i="1"/>
  <c r="AA967" i="1"/>
  <c r="Y967" i="1"/>
  <c r="X967" i="1"/>
  <c r="AA966" i="1"/>
  <c r="Y966" i="1"/>
  <c r="X966" i="1"/>
  <c r="AA965" i="1"/>
  <c r="Y965" i="1"/>
  <c r="X965" i="1"/>
  <c r="AA964" i="1"/>
  <c r="Y964" i="1"/>
  <c r="X964" i="1"/>
  <c r="AB964" i="1"/>
  <c r="AA963" i="1"/>
  <c r="Y963" i="1"/>
  <c r="X963" i="1"/>
  <c r="AA962" i="1"/>
  <c r="Y962" i="1"/>
  <c r="X962" i="1"/>
  <c r="R962" i="1"/>
  <c r="Q962" i="1"/>
  <c r="O962" i="1"/>
  <c r="N962" i="1"/>
  <c r="AA961" i="1"/>
  <c r="Y961" i="1"/>
  <c r="X961" i="1"/>
  <c r="AA960" i="1"/>
  <c r="Y960" i="1"/>
  <c r="X960" i="1"/>
  <c r="AB960" i="1"/>
  <c r="AA959" i="1"/>
  <c r="Y959" i="1"/>
  <c r="X959" i="1"/>
  <c r="AA958" i="1"/>
  <c r="Y958" i="1"/>
  <c r="X958" i="1"/>
  <c r="AA957" i="1"/>
  <c r="Y957" i="1"/>
  <c r="X957" i="1"/>
  <c r="AA956" i="1"/>
  <c r="Y956" i="1"/>
  <c r="X956" i="1"/>
  <c r="AB956" i="1"/>
  <c r="AA955" i="1"/>
  <c r="Y955" i="1"/>
  <c r="X955" i="1"/>
  <c r="AA954" i="1"/>
  <c r="Y954" i="1"/>
  <c r="X954" i="1"/>
  <c r="AA953" i="1"/>
  <c r="Y953" i="1"/>
  <c r="X953" i="1"/>
  <c r="AA952" i="1"/>
  <c r="Y952" i="1"/>
  <c r="X952" i="1"/>
  <c r="AB952" i="1"/>
  <c r="R952" i="1"/>
  <c r="Q952" i="1"/>
  <c r="O952" i="1"/>
  <c r="N952" i="1"/>
  <c r="T952" i="1"/>
  <c r="AA951" i="1"/>
  <c r="Y951" i="1"/>
  <c r="X951" i="1"/>
  <c r="AB951" i="1"/>
  <c r="AA950" i="1"/>
  <c r="Y950" i="1"/>
  <c r="X950" i="1"/>
  <c r="AA949" i="1"/>
  <c r="Y949" i="1"/>
  <c r="X949" i="1"/>
  <c r="AA948" i="1"/>
  <c r="Y948" i="1"/>
  <c r="X948" i="1"/>
  <c r="AB948" i="1"/>
  <c r="AA947" i="1"/>
  <c r="Y947" i="1"/>
  <c r="X947" i="1"/>
  <c r="AB947" i="1"/>
  <c r="AA946" i="1"/>
  <c r="Y946" i="1"/>
  <c r="X946" i="1"/>
  <c r="AA945" i="1"/>
  <c r="Y945" i="1"/>
  <c r="X945" i="1"/>
  <c r="AA944" i="1"/>
  <c r="Y944" i="1"/>
  <c r="X944" i="1"/>
  <c r="AB944" i="1"/>
  <c r="AA943" i="1"/>
  <c r="Y943" i="1"/>
  <c r="X943" i="1"/>
  <c r="AB943" i="1"/>
  <c r="AB942" i="1"/>
  <c r="AA942" i="1"/>
  <c r="Y942" i="1"/>
  <c r="X942" i="1"/>
  <c r="R942" i="1"/>
  <c r="Q942" i="1"/>
  <c r="O942" i="1"/>
  <c r="N942" i="1"/>
  <c r="T942" i="1"/>
  <c r="AB962" i="1"/>
  <c r="S942" i="1"/>
  <c r="AB953" i="1"/>
  <c r="AB957" i="1"/>
  <c r="AB961" i="1"/>
  <c r="AJ962" i="1"/>
  <c r="AI962" i="1"/>
  <c r="AB965" i="1"/>
  <c r="AB969" i="1"/>
  <c r="AG952" i="1"/>
  <c r="AF952" i="1"/>
  <c r="AB963" i="1"/>
  <c r="AB967" i="1"/>
  <c r="AB971" i="1"/>
  <c r="AG942" i="1"/>
  <c r="AF942" i="1"/>
  <c r="AB946" i="1"/>
  <c r="AB950" i="1"/>
  <c r="AB955" i="1"/>
  <c r="AB959" i="1"/>
  <c r="AJ963" i="1"/>
  <c r="AI963" i="1"/>
  <c r="AB966" i="1"/>
  <c r="AB970" i="1"/>
  <c r="AG962" i="1"/>
  <c r="AF962" i="1"/>
  <c r="AB945" i="1"/>
  <c r="AB949" i="1"/>
  <c r="AB954" i="1"/>
  <c r="AB958" i="1"/>
  <c r="T962" i="1"/>
  <c r="AG963" i="1"/>
  <c r="AF963" i="1"/>
  <c r="AJ942" i="1"/>
  <c r="AI942" i="1"/>
  <c r="AG943" i="1"/>
  <c r="AF943" i="1"/>
  <c r="AJ952" i="1"/>
  <c r="AI952" i="1"/>
  <c r="AG953" i="1"/>
  <c r="AF953" i="1"/>
  <c r="AG964" i="1"/>
  <c r="AF964" i="1"/>
  <c r="AJ964" i="1"/>
  <c r="AG954" i="1"/>
  <c r="AG965" i="1"/>
  <c r="AJ943" i="1"/>
  <c r="AJ953" i="1"/>
  <c r="AG944" i="1"/>
  <c r="AF954" i="1"/>
  <c r="AG955" i="1"/>
  <c r="AI964" i="1"/>
  <c r="AJ965" i="1"/>
  <c r="AF965" i="1"/>
  <c r="AG966" i="1"/>
  <c r="AF944" i="1"/>
  <c r="AG945" i="1"/>
  <c r="AI953" i="1"/>
  <c r="AJ954" i="1"/>
  <c r="AI943" i="1"/>
  <c r="AJ944" i="1"/>
  <c r="AF955" i="1"/>
  <c r="AG956" i="1"/>
  <c r="AI965" i="1"/>
  <c r="AJ966" i="1"/>
  <c r="AF966" i="1"/>
  <c r="AG967" i="1"/>
  <c r="AI944" i="1"/>
  <c r="AJ945" i="1"/>
  <c r="AI954" i="1"/>
  <c r="AJ955" i="1"/>
  <c r="AF945" i="1"/>
  <c r="AG946" i="1"/>
  <c r="AI966" i="1"/>
  <c r="AJ967" i="1"/>
  <c r="AF956" i="1"/>
  <c r="AG957" i="1"/>
  <c r="AF967" i="1"/>
  <c r="AG968" i="1"/>
  <c r="AI945" i="1"/>
  <c r="AJ946" i="1"/>
  <c r="AF946" i="1"/>
  <c r="AG947" i="1"/>
  <c r="AI955" i="1"/>
  <c r="AJ956" i="1"/>
  <c r="AF957" i="1"/>
  <c r="AG958" i="1"/>
  <c r="AI967" i="1"/>
  <c r="AJ968" i="1"/>
  <c r="AF968" i="1"/>
  <c r="AG969" i="1"/>
  <c r="AI956" i="1"/>
  <c r="AJ957" i="1"/>
  <c r="AI946" i="1"/>
  <c r="AJ947" i="1"/>
  <c r="AF947" i="1"/>
  <c r="AG948" i="1"/>
  <c r="AF958" i="1"/>
  <c r="AG959" i="1"/>
  <c r="AI968" i="1"/>
  <c r="AJ969" i="1"/>
  <c r="AF969" i="1"/>
  <c r="AG970" i="1"/>
  <c r="AF948" i="1"/>
  <c r="AG949" i="1"/>
  <c r="AI957" i="1"/>
  <c r="AJ958" i="1"/>
  <c r="AI947" i="1"/>
  <c r="AJ948" i="1"/>
  <c r="AF959" i="1"/>
  <c r="AG960" i="1"/>
  <c r="AI969" i="1"/>
  <c r="AJ970" i="1"/>
  <c r="AF970" i="1"/>
  <c r="AG971" i="1"/>
  <c r="AI958" i="1"/>
  <c r="AJ959" i="1"/>
  <c r="AF949" i="1"/>
  <c r="AG950" i="1"/>
  <c r="AI948" i="1"/>
  <c r="AJ949" i="1"/>
  <c r="AF960" i="1"/>
  <c r="AG961" i="1"/>
  <c r="AJ971" i="1"/>
  <c r="AI970" i="1"/>
  <c r="AH962" i="1"/>
  <c r="AL962" i="1"/>
  <c r="AF971" i="1"/>
  <c r="AF950" i="1"/>
  <c r="AG951" i="1"/>
  <c r="AI959" i="1"/>
  <c r="AJ960" i="1"/>
  <c r="AI949" i="1"/>
  <c r="AJ950" i="1"/>
  <c r="AI971" i="1"/>
  <c r="AK962" i="1"/>
  <c r="AM962" i="1"/>
  <c r="AN962" i="1"/>
  <c r="AP962" i="1"/>
  <c r="AO962" i="1"/>
  <c r="AH952" i="1"/>
  <c r="AL952" i="1"/>
  <c r="AF961" i="1"/>
  <c r="AI950" i="1"/>
  <c r="AJ951" i="1"/>
  <c r="AH942" i="1"/>
  <c r="AL942" i="1"/>
  <c r="AF951" i="1"/>
  <c r="AI960" i="1"/>
  <c r="AJ961" i="1"/>
  <c r="AI961" i="1"/>
  <c r="AK952" i="1"/>
  <c r="AM952" i="1"/>
  <c r="AN952" i="1"/>
  <c r="AP952" i="1"/>
  <c r="AO952" i="1"/>
  <c r="AK942" i="1"/>
  <c r="AM942" i="1"/>
  <c r="AN942" i="1"/>
  <c r="AP942" i="1"/>
  <c r="AO942" i="1"/>
  <c r="AI951" i="1"/>
  <c r="AA941" i="1"/>
  <c r="Y941" i="1"/>
  <c r="X941" i="1"/>
  <c r="AA940" i="1"/>
  <c r="Y940" i="1"/>
  <c r="X940" i="1"/>
  <c r="AA939" i="1"/>
  <c r="Y939" i="1"/>
  <c r="X939" i="1"/>
  <c r="AA938" i="1"/>
  <c r="Y938" i="1"/>
  <c r="X938" i="1"/>
  <c r="AB938" i="1"/>
  <c r="AA937" i="1"/>
  <c r="Y937" i="1"/>
  <c r="X937" i="1"/>
  <c r="AA936" i="1"/>
  <c r="Y936" i="1"/>
  <c r="X936" i="1"/>
  <c r="AA935" i="1"/>
  <c r="Y935" i="1"/>
  <c r="X935" i="1"/>
  <c r="AA934" i="1"/>
  <c r="Y934" i="1"/>
  <c r="X934" i="1"/>
  <c r="AB934" i="1"/>
  <c r="AA933" i="1"/>
  <c r="Y933" i="1"/>
  <c r="X933" i="1"/>
  <c r="AA932" i="1"/>
  <c r="AB932" i="1"/>
  <c r="Y932" i="1"/>
  <c r="X932" i="1"/>
  <c r="R932" i="1"/>
  <c r="Q932" i="1"/>
  <c r="O932" i="1"/>
  <c r="N932" i="1"/>
  <c r="AA931" i="1"/>
  <c r="Y931" i="1"/>
  <c r="X931" i="1"/>
  <c r="AA930" i="1"/>
  <c r="Y930" i="1"/>
  <c r="X930" i="1"/>
  <c r="AA929" i="1"/>
  <c r="Y929" i="1"/>
  <c r="X929" i="1"/>
  <c r="AA928" i="1"/>
  <c r="AB928" i="1"/>
  <c r="Y928" i="1"/>
  <c r="X928" i="1"/>
  <c r="AA927" i="1"/>
  <c r="Y927" i="1"/>
  <c r="X927" i="1"/>
  <c r="AA926" i="1"/>
  <c r="Y926" i="1"/>
  <c r="X926" i="1"/>
  <c r="AA925" i="1"/>
  <c r="Y925" i="1"/>
  <c r="X925" i="1"/>
  <c r="AA924" i="1"/>
  <c r="AB924" i="1"/>
  <c r="Y924" i="1"/>
  <c r="X924" i="1"/>
  <c r="AA923" i="1"/>
  <c r="Y923" i="1"/>
  <c r="X923" i="1"/>
  <c r="AA922" i="1"/>
  <c r="Y922" i="1"/>
  <c r="X922" i="1"/>
  <c r="R922" i="1"/>
  <c r="Q922" i="1"/>
  <c r="O922" i="1"/>
  <c r="N922" i="1"/>
  <c r="AA921" i="1"/>
  <c r="Y921" i="1"/>
  <c r="X921" i="1"/>
  <c r="AA920" i="1"/>
  <c r="Y920" i="1"/>
  <c r="X920" i="1"/>
  <c r="AA919" i="1"/>
  <c r="Y919" i="1"/>
  <c r="X919" i="1"/>
  <c r="AA918" i="1"/>
  <c r="Y918" i="1"/>
  <c r="X918" i="1"/>
  <c r="AA917" i="1"/>
  <c r="Y917" i="1"/>
  <c r="X917" i="1"/>
  <c r="AA916" i="1"/>
  <c r="Y916" i="1"/>
  <c r="X916" i="1"/>
  <c r="AA915" i="1"/>
  <c r="Y915" i="1"/>
  <c r="X915" i="1"/>
  <c r="AA914" i="1"/>
  <c r="Y914" i="1"/>
  <c r="X914" i="1"/>
  <c r="AA913" i="1"/>
  <c r="Y913" i="1"/>
  <c r="X913" i="1"/>
  <c r="AA912" i="1"/>
  <c r="Y912" i="1"/>
  <c r="X912" i="1"/>
  <c r="R912" i="1"/>
  <c r="Q912" i="1"/>
  <c r="O912" i="1"/>
  <c r="N912" i="1"/>
  <c r="AA911" i="1"/>
  <c r="Y911" i="1"/>
  <c r="X911" i="1"/>
  <c r="AA910" i="1"/>
  <c r="Y910" i="1"/>
  <c r="X910" i="1"/>
  <c r="AA909" i="1"/>
  <c r="Y909" i="1"/>
  <c r="X909" i="1"/>
  <c r="AA908" i="1"/>
  <c r="AB908" i="1"/>
  <c r="Y908" i="1"/>
  <c r="X908" i="1"/>
  <c r="AA907" i="1"/>
  <c r="Y907" i="1"/>
  <c r="X907" i="1"/>
  <c r="AA906" i="1"/>
  <c r="Y906" i="1"/>
  <c r="X906" i="1"/>
  <c r="AA905" i="1"/>
  <c r="Y905" i="1"/>
  <c r="X905" i="1"/>
  <c r="AA904" i="1"/>
  <c r="AB904" i="1"/>
  <c r="Y904" i="1"/>
  <c r="X904" i="1"/>
  <c r="AA903" i="1"/>
  <c r="Y903" i="1"/>
  <c r="X903" i="1"/>
  <c r="AA902" i="1"/>
  <c r="Y902" i="1"/>
  <c r="X902" i="1"/>
  <c r="R902" i="1"/>
  <c r="Q902" i="1"/>
  <c r="O902" i="1"/>
  <c r="N902" i="1"/>
  <c r="AA901" i="1"/>
  <c r="Y901" i="1"/>
  <c r="X901" i="1"/>
  <c r="AA900" i="1"/>
  <c r="Y900" i="1"/>
  <c r="X900" i="1"/>
  <c r="AA899" i="1"/>
  <c r="Y899" i="1"/>
  <c r="X899" i="1"/>
  <c r="AA898" i="1"/>
  <c r="Y898" i="1"/>
  <c r="X898" i="1"/>
  <c r="AA897" i="1"/>
  <c r="Y897" i="1"/>
  <c r="X897" i="1"/>
  <c r="AA896" i="1"/>
  <c r="Y896" i="1"/>
  <c r="X896" i="1"/>
  <c r="AA895" i="1"/>
  <c r="Y895" i="1"/>
  <c r="X895" i="1"/>
  <c r="AA894" i="1"/>
  <c r="Y894" i="1"/>
  <c r="X894" i="1"/>
  <c r="AA893" i="1"/>
  <c r="Y893" i="1"/>
  <c r="X893" i="1"/>
  <c r="AA892" i="1"/>
  <c r="Y892" i="1"/>
  <c r="X892" i="1"/>
  <c r="R892" i="1"/>
  <c r="Q892" i="1"/>
  <c r="O892" i="1"/>
  <c r="N892" i="1"/>
  <c r="AA891" i="1"/>
  <c r="Y891" i="1"/>
  <c r="X891" i="1"/>
  <c r="AA890" i="1"/>
  <c r="Y890" i="1"/>
  <c r="X890" i="1"/>
  <c r="AA889" i="1"/>
  <c r="Y889" i="1"/>
  <c r="X889" i="1"/>
  <c r="AB889" i="1"/>
  <c r="AA888" i="1"/>
  <c r="Y888" i="1"/>
  <c r="X888" i="1"/>
  <c r="AA887" i="1"/>
  <c r="Y887" i="1"/>
  <c r="X887" i="1"/>
  <c r="AA886" i="1"/>
  <c r="Y886" i="1"/>
  <c r="X886" i="1"/>
  <c r="AA885" i="1"/>
  <c r="Y885" i="1"/>
  <c r="X885" i="1"/>
  <c r="AB885" i="1"/>
  <c r="AA884" i="1"/>
  <c r="Y884" i="1"/>
  <c r="X884" i="1"/>
  <c r="AA883" i="1"/>
  <c r="Y883" i="1"/>
  <c r="X883" i="1"/>
  <c r="AA882" i="1"/>
  <c r="Y882" i="1"/>
  <c r="X882" i="1"/>
  <c r="R882" i="1"/>
  <c r="Q882" i="1"/>
  <c r="O882" i="1"/>
  <c r="N882" i="1"/>
  <c r="AB903" i="1"/>
  <c r="AB907" i="1"/>
  <c r="AB911" i="1"/>
  <c r="AB923" i="1"/>
  <c r="AB927" i="1"/>
  <c r="AB931" i="1"/>
  <c r="AB884" i="1"/>
  <c r="AB888" i="1"/>
  <c r="AB896" i="1"/>
  <c r="AB900" i="1"/>
  <c r="AB906" i="1"/>
  <c r="AB910" i="1"/>
  <c r="AB905" i="1"/>
  <c r="AB909" i="1"/>
  <c r="AB887" i="1"/>
  <c r="AB891" i="1"/>
  <c r="AB895" i="1"/>
  <c r="AB899" i="1"/>
  <c r="AJ902" i="1"/>
  <c r="AB926" i="1"/>
  <c r="AB930" i="1"/>
  <c r="AB883" i="1"/>
  <c r="T882" i="1"/>
  <c r="AB882" i="1"/>
  <c r="AG882" i="1"/>
  <c r="AF882" i="1"/>
  <c r="AB886" i="1"/>
  <c r="AB890" i="1"/>
  <c r="AB925" i="1"/>
  <c r="AB929" i="1"/>
  <c r="AB894" i="1"/>
  <c r="AB898" i="1"/>
  <c r="AB915" i="1"/>
  <c r="AB919" i="1"/>
  <c r="AJ922" i="1"/>
  <c r="AI922" i="1"/>
  <c r="AB893" i="1"/>
  <c r="AB897" i="1"/>
  <c r="AB901" i="1"/>
  <c r="AB912" i="1"/>
  <c r="AB914" i="1"/>
  <c r="AB918" i="1"/>
  <c r="T922" i="1"/>
  <c r="AB922" i="1"/>
  <c r="AB935" i="1"/>
  <c r="AB939" i="1"/>
  <c r="S912" i="1"/>
  <c r="T912" i="1"/>
  <c r="S932" i="1"/>
  <c r="T932" i="1"/>
  <c r="AJ892" i="1"/>
  <c r="AI892" i="1"/>
  <c r="T902" i="1"/>
  <c r="AB902" i="1"/>
  <c r="AG902" i="1"/>
  <c r="AF902" i="1"/>
  <c r="AB913" i="1"/>
  <c r="AB917" i="1"/>
  <c r="AB921" i="1"/>
  <c r="AJ923" i="1"/>
  <c r="AI923" i="1"/>
  <c r="AB933" i="1"/>
  <c r="AB937" i="1"/>
  <c r="AB941" i="1"/>
  <c r="AJ882" i="1"/>
  <c r="AI882" i="1"/>
  <c r="T892" i="1"/>
  <c r="AB892" i="1"/>
  <c r="AG892" i="1"/>
  <c r="AJ912" i="1"/>
  <c r="AI912" i="1"/>
  <c r="AB916" i="1"/>
  <c r="AB920" i="1"/>
  <c r="AG932" i="1"/>
  <c r="AF932" i="1"/>
  <c r="AB936" i="1"/>
  <c r="AB940" i="1"/>
  <c r="AI902" i="1"/>
  <c r="AJ903" i="1"/>
  <c r="AG922" i="1"/>
  <c r="AF922" i="1"/>
  <c r="AJ924" i="1"/>
  <c r="AI924" i="1"/>
  <c r="AJ932" i="1"/>
  <c r="AI932" i="1"/>
  <c r="AG912" i="1"/>
  <c r="AF912" i="1"/>
  <c r="S922" i="1"/>
  <c r="AG923" i="1"/>
  <c r="AF923" i="1"/>
  <c r="AJ883" i="1"/>
  <c r="AJ913" i="1"/>
  <c r="AI913" i="1"/>
  <c r="AF892" i="1"/>
  <c r="AG893" i="1"/>
  <c r="AF893" i="1"/>
  <c r="AJ893" i="1"/>
  <c r="AJ894" i="1"/>
  <c r="AG933" i="1"/>
  <c r="AJ914" i="1"/>
  <c r="AJ915" i="1"/>
  <c r="AJ933" i="1"/>
  <c r="AI933" i="1"/>
  <c r="AI883" i="1"/>
  <c r="AJ884" i="1"/>
  <c r="AI893" i="1"/>
  <c r="AJ925" i="1"/>
  <c r="AI903" i="1"/>
  <c r="AJ904" i="1"/>
  <c r="AG924" i="1"/>
  <c r="AG883" i="1"/>
  <c r="AG913" i="1"/>
  <c r="AG903" i="1"/>
  <c r="AI914" i="1"/>
  <c r="AG894" i="1"/>
  <c r="AF894" i="1"/>
  <c r="AF933" i="1"/>
  <c r="AG934" i="1"/>
  <c r="AJ934" i="1"/>
  <c r="AI934" i="1"/>
  <c r="AG895" i="1"/>
  <c r="AF895" i="1"/>
  <c r="AF924" i="1"/>
  <c r="AG925" i="1"/>
  <c r="AI894" i="1"/>
  <c r="AJ895" i="1"/>
  <c r="AG896" i="1"/>
  <c r="AF903" i="1"/>
  <c r="AG904" i="1"/>
  <c r="AI925" i="1"/>
  <c r="AJ926" i="1"/>
  <c r="AF913" i="1"/>
  <c r="AG914" i="1"/>
  <c r="AI904" i="1"/>
  <c r="AJ905" i="1"/>
  <c r="AI884" i="1"/>
  <c r="AJ885" i="1"/>
  <c r="AF883" i="1"/>
  <c r="AG884" i="1"/>
  <c r="AI915" i="1"/>
  <c r="AJ916" i="1"/>
  <c r="AA881" i="1"/>
  <c r="Y881" i="1"/>
  <c r="X881" i="1"/>
  <c r="AB881" i="1"/>
  <c r="AA880" i="1"/>
  <c r="Y880" i="1"/>
  <c r="X880" i="1"/>
  <c r="AA879" i="1"/>
  <c r="Y879" i="1"/>
  <c r="X879" i="1"/>
  <c r="AA878" i="1"/>
  <c r="Y878" i="1"/>
  <c r="X878" i="1"/>
  <c r="AA877" i="1"/>
  <c r="Y877" i="1"/>
  <c r="X877" i="1"/>
  <c r="AA876" i="1"/>
  <c r="Y876" i="1"/>
  <c r="X876" i="1"/>
  <c r="AA875" i="1"/>
  <c r="Y875" i="1"/>
  <c r="X875" i="1"/>
  <c r="AA874" i="1"/>
  <c r="Y874" i="1"/>
  <c r="X874" i="1"/>
  <c r="AA873" i="1"/>
  <c r="Y873" i="1"/>
  <c r="X873" i="1"/>
  <c r="AA872" i="1"/>
  <c r="Y872" i="1"/>
  <c r="X872" i="1"/>
  <c r="R872" i="1"/>
  <c r="Q872" i="1"/>
  <c r="O872" i="1"/>
  <c r="N872" i="1"/>
  <c r="AA871" i="1"/>
  <c r="AB871" i="1"/>
  <c r="Y871" i="1"/>
  <c r="X871" i="1"/>
  <c r="AA870" i="1"/>
  <c r="Y870" i="1"/>
  <c r="X870" i="1"/>
  <c r="AA869" i="1"/>
  <c r="Y869" i="1"/>
  <c r="X869" i="1"/>
  <c r="AA868" i="1"/>
  <c r="Y868" i="1"/>
  <c r="X868" i="1"/>
  <c r="AA867" i="1"/>
  <c r="AB867" i="1"/>
  <c r="Y867" i="1"/>
  <c r="X867" i="1"/>
  <c r="AA866" i="1"/>
  <c r="Y866" i="1"/>
  <c r="X866" i="1"/>
  <c r="AA865" i="1"/>
  <c r="Y865" i="1"/>
  <c r="X865" i="1"/>
  <c r="AA864" i="1"/>
  <c r="Y864" i="1"/>
  <c r="X864" i="1"/>
  <c r="AA863" i="1"/>
  <c r="AB863" i="1"/>
  <c r="Y863" i="1"/>
  <c r="X863" i="1"/>
  <c r="AA862" i="1"/>
  <c r="Y862" i="1"/>
  <c r="X862" i="1"/>
  <c r="R862" i="1"/>
  <c r="Q862" i="1"/>
  <c r="O862" i="1"/>
  <c r="N862" i="1"/>
  <c r="AA861" i="1"/>
  <c r="Y861" i="1"/>
  <c r="X861" i="1"/>
  <c r="AA860" i="1"/>
  <c r="Y860" i="1"/>
  <c r="X860" i="1"/>
  <c r="AA859" i="1"/>
  <c r="Y859" i="1"/>
  <c r="X859" i="1"/>
  <c r="AA858" i="1"/>
  <c r="Y858" i="1"/>
  <c r="X858" i="1"/>
  <c r="AA857" i="1"/>
  <c r="Y857" i="1"/>
  <c r="X857" i="1"/>
  <c r="AB857" i="1"/>
  <c r="AA856" i="1"/>
  <c r="Y856" i="1"/>
  <c r="X856" i="1"/>
  <c r="AA855" i="1"/>
  <c r="AB855" i="1"/>
  <c r="Y855" i="1"/>
  <c r="X855" i="1"/>
  <c r="AA854" i="1"/>
  <c r="Y854" i="1"/>
  <c r="X854" i="1"/>
  <c r="AA853" i="1"/>
  <c r="Y853" i="1"/>
  <c r="X853" i="1"/>
  <c r="AA852" i="1"/>
  <c r="Y852" i="1"/>
  <c r="X852" i="1"/>
  <c r="R852" i="1"/>
  <c r="Q852" i="1"/>
  <c r="O852" i="1"/>
  <c r="N852" i="1"/>
  <c r="AA851" i="1"/>
  <c r="Y851" i="1"/>
  <c r="X851" i="1"/>
  <c r="AA850" i="1"/>
  <c r="Y850" i="1"/>
  <c r="X850" i="1"/>
  <c r="AA849" i="1"/>
  <c r="Y849" i="1"/>
  <c r="X849" i="1"/>
  <c r="AB849" i="1"/>
  <c r="AA848" i="1"/>
  <c r="Y848" i="1"/>
  <c r="X848" i="1"/>
  <c r="AA847" i="1"/>
  <c r="Y847" i="1"/>
  <c r="X847" i="1"/>
  <c r="AA846" i="1"/>
  <c r="Y846" i="1"/>
  <c r="X846" i="1"/>
  <c r="AA845" i="1"/>
  <c r="Y845" i="1"/>
  <c r="X845" i="1"/>
  <c r="AB845" i="1"/>
  <c r="AA844" i="1"/>
  <c r="Y844" i="1"/>
  <c r="X844" i="1"/>
  <c r="AA843" i="1"/>
  <c r="Y843" i="1"/>
  <c r="X843" i="1"/>
  <c r="AA842" i="1"/>
  <c r="Y842" i="1"/>
  <c r="AJ842" i="1"/>
  <c r="AI842" i="1"/>
  <c r="X842" i="1"/>
  <c r="R842" i="1"/>
  <c r="Q842" i="1"/>
  <c r="O842" i="1"/>
  <c r="N842" i="1"/>
  <c r="AA841" i="1"/>
  <c r="Y841" i="1"/>
  <c r="X841" i="1"/>
  <c r="AB841" i="1"/>
  <c r="AA840" i="1"/>
  <c r="Y840" i="1"/>
  <c r="X840" i="1"/>
  <c r="AA839" i="1"/>
  <c r="Y839" i="1"/>
  <c r="X839" i="1"/>
  <c r="AA838" i="1"/>
  <c r="Y838" i="1"/>
  <c r="X838" i="1"/>
  <c r="AA837" i="1"/>
  <c r="Y837" i="1"/>
  <c r="X837" i="1"/>
  <c r="AB837" i="1"/>
  <c r="AA836" i="1"/>
  <c r="Y836" i="1"/>
  <c r="X836" i="1"/>
  <c r="AA835" i="1"/>
  <c r="Y835" i="1"/>
  <c r="X835" i="1"/>
  <c r="AA834" i="1"/>
  <c r="Y834" i="1"/>
  <c r="X834" i="1"/>
  <c r="AA833" i="1"/>
  <c r="Y833" i="1"/>
  <c r="X833" i="1"/>
  <c r="AB833" i="1"/>
  <c r="AA832" i="1"/>
  <c r="Y832" i="1"/>
  <c r="X832" i="1"/>
  <c r="R832" i="1"/>
  <c r="Q832" i="1"/>
  <c r="O832" i="1"/>
  <c r="N832" i="1"/>
  <c r="AA831" i="1"/>
  <c r="AB831" i="1"/>
  <c r="Y831" i="1"/>
  <c r="X831" i="1"/>
  <c r="AA830" i="1"/>
  <c r="Y830" i="1"/>
  <c r="X830" i="1"/>
  <c r="AA829" i="1"/>
  <c r="Y829" i="1"/>
  <c r="X829" i="1"/>
  <c r="AA828" i="1"/>
  <c r="Y828" i="1"/>
  <c r="X828" i="1"/>
  <c r="AA827" i="1"/>
  <c r="Y827" i="1"/>
  <c r="X827" i="1"/>
  <c r="AA826" i="1"/>
  <c r="Y826" i="1"/>
  <c r="X826" i="1"/>
  <c r="AA825" i="1"/>
  <c r="Y825" i="1"/>
  <c r="X825" i="1"/>
  <c r="AB825" i="1"/>
  <c r="AA824" i="1"/>
  <c r="Y824" i="1"/>
  <c r="X824" i="1"/>
  <c r="AA823" i="1"/>
  <c r="Y823" i="1"/>
  <c r="X823" i="1"/>
  <c r="AA822" i="1"/>
  <c r="Y822" i="1"/>
  <c r="X822" i="1"/>
  <c r="R822" i="1"/>
  <c r="Q822" i="1"/>
  <c r="O822" i="1"/>
  <c r="N822" i="1"/>
  <c r="AA821" i="1"/>
  <c r="Y821" i="1"/>
  <c r="X821" i="1"/>
  <c r="AB821" i="1"/>
  <c r="AA820" i="1"/>
  <c r="Y820" i="1"/>
  <c r="X820" i="1"/>
  <c r="AA819" i="1"/>
  <c r="Y819" i="1"/>
  <c r="X819" i="1"/>
  <c r="AA818" i="1"/>
  <c r="Y818" i="1"/>
  <c r="X818" i="1"/>
  <c r="AA817" i="1"/>
  <c r="Y817" i="1"/>
  <c r="X817" i="1"/>
  <c r="AB817" i="1"/>
  <c r="AA816" i="1"/>
  <c r="Y816" i="1"/>
  <c r="X816" i="1"/>
  <c r="AA815" i="1"/>
  <c r="Y815" i="1"/>
  <c r="X815" i="1"/>
  <c r="AA814" i="1"/>
  <c r="Y814" i="1"/>
  <c r="X814" i="1"/>
  <c r="AA813" i="1"/>
  <c r="Y813" i="1"/>
  <c r="X813" i="1"/>
  <c r="AB813" i="1"/>
  <c r="AA812" i="1"/>
  <c r="Y812" i="1"/>
  <c r="X812" i="1"/>
  <c r="R812" i="1"/>
  <c r="AJ812" i="1"/>
  <c r="AI812" i="1"/>
  <c r="Q812" i="1"/>
  <c r="O812" i="1"/>
  <c r="N812" i="1"/>
  <c r="AB814" i="1"/>
  <c r="AB818" i="1"/>
  <c r="AB826" i="1"/>
  <c r="AB834" i="1"/>
  <c r="AB838" i="1"/>
  <c r="T842" i="1"/>
  <c r="AB846" i="1"/>
  <c r="AB850" i="1"/>
  <c r="AB858" i="1"/>
  <c r="T862" i="1"/>
  <c r="AJ843" i="1"/>
  <c r="AI843" i="1"/>
  <c r="AB864" i="1"/>
  <c r="AB868" i="1"/>
  <c r="AB816" i="1"/>
  <c r="AB820" i="1"/>
  <c r="AB815" i="1"/>
  <c r="AB819" i="1"/>
  <c r="AB832" i="1"/>
  <c r="AB844" i="1"/>
  <c r="AB848" i="1"/>
  <c r="T852" i="1"/>
  <c r="AB872" i="1"/>
  <c r="AB876" i="1"/>
  <c r="AB880" i="1"/>
  <c r="AJ935" i="1"/>
  <c r="AI935" i="1"/>
  <c r="AF934" i="1"/>
  <c r="AG935" i="1"/>
  <c r="AB822" i="1"/>
  <c r="AG822" i="1"/>
  <c r="AB843" i="1"/>
  <c r="AB847" i="1"/>
  <c r="AB851" i="1"/>
  <c r="AB875" i="1"/>
  <c r="AB879" i="1"/>
  <c r="AG832" i="1"/>
  <c r="AF832" i="1"/>
  <c r="AJ832" i="1"/>
  <c r="AI832" i="1"/>
  <c r="AB842" i="1"/>
  <c r="AG842" i="1"/>
  <c r="AF842" i="1"/>
  <c r="AB862" i="1"/>
  <c r="AG862" i="1"/>
  <c r="AF862" i="1"/>
  <c r="AB865" i="1"/>
  <c r="AB869" i="1"/>
  <c r="AB873" i="1"/>
  <c r="AB877" i="1"/>
  <c r="T812" i="1"/>
  <c r="AB812" i="1"/>
  <c r="S822" i="1"/>
  <c r="T822" i="1"/>
  <c r="AB824" i="1"/>
  <c r="AB828" i="1"/>
  <c r="AB830" i="1"/>
  <c r="AB836" i="1"/>
  <c r="AB840" i="1"/>
  <c r="AB854" i="1"/>
  <c r="AB856" i="1"/>
  <c r="AB860" i="1"/>
  <c r="AG812" i="1"/>
  <c r="AF812" i="1"/>
  <c r="AJ813" i="1"/>
  <c r="AI813" i="1"/>
  <c r="AB823" i="1"/>
  <c r="AB827" i="1"/>
  <c r="AB829" i="1"/>
  <c r="S832" i="1"/>
  <c r="T832" i="1"/>
  <c r="AB835" i="1"/>
  <c r="AB839" i="1"/>
  <c r="AB852" i="1"/>
  <c r="AG852" i="1"/>
  <c r="AB853" i="1"/>
  <c r="AB859" i="1"/>
  <c r="AB861" i="1"/>
  <c r="AJ862" i="1"/>
  <c r="AI862" i="1"/>
  <c r="AB866" i="1"/>
  <c r="AB870" i="1"/>
  <c r="S872" i="1"/>
  <c r="T872" i="1"/>
  <c r="AB874" i="1"/>
  <c r="AB878" i="1"/>
  <c r="AF925" i="1"/>
  <c r="AG926" i="1"/>
  <c r="AJ917" i="1"/>
  <c r="AI916" i="1"/>
  <c r="AI905" i="1"/>
  <c r="AJ906" i="1"/>
  <c r="AF896" i="1"/>
  <c r="AG897" i="1"/>
  <c r="AF884" i="1"/>
  <c r="AG885" i="1"/>
  <c r="AI885" i="1"/>
  <c r="AJ886" i="1"/>
  <c r="AF914" i="1"/>
  <c r="AG915" i="1"/>
  <c r="AF904" i="1"/>
  <c r="AG905" i="1"/>
  <c r="AI895" i="1"/>
  <c r="AJ896" i="1"/>
  <c r="AI926" i="1"/>
  <c r="AJ927" i="1"/>
  <c r="AG833" i="1"/>
  <c r="AF833" i="1"/>
  <c r="AJ822" i="1"/>
  <c r="AI822" i="1"/>
  <c r="AJ844" i="1"/>
  <c r="S842" i="1"/>
  <c r="AJ833" i="1"/>
  <c r="AI833" i="1"/>
  <c r="AJ852" i="1"/>
  <c r="AG872" i="1"/>
  <c r="AF872" i="1"/>
  <c r="S852" i="1"/>
  <c r="AJ872" i="1"/>
  <c r="AI872" i="1"/>
  <c r="S862" i="1"/>
  <c r="AG834" i="1"/>
  <c r="AF834" i="1"/>
  <c r="AJ936" i="1"/>
  <c r="AI936" i="1"/>
  <c r="AF822" i="1"/>
  <c r="AG823" i="1"/>
  <c r="AF823" i="1"/>
  <c r="AF935" i="1"/>
  <c r="AG936" i="1"/>
  <c r="AG873" i="1"/>
  <c r="AF873" i="1"/>
  <c r="AJ834" i="1"/>
  <c r="AI834" i="1"/>
  <c r="AG813" i="1"/>
  <c r="AF813" i="1"/>
  <c r="AJ814" i="1"/>
  <c r="AI814" i="1"/>
  <c r="AF852" i="1"/>
  <c r="AG853" i="1"/>
  <c r="AF853" i="1"/>
  <c r="AJ863" i="1"/>
  <c r="AG863" i="1"/>
  <c r="AF863" i="1"/>
  <c r="AF885" i="1"/>
  <c r="AG886" i="1"/>
  <c r="AI927" i="1"/>
  <c r="AJ928" i="1"/>
  <c r="AF915" i="1"/>
  <c r="AG916" i="1"/>
  <c r="AI906" i="1"/>
  <c r="AJ907" i="1"/>
  <c r="AF926" i="1"/>
  <c r="AG927" i="1"/>
  <c r="AJ937" i="1"/>
  <c r="AF905" i="1"/>
  <c r="AG906" i="1"/>
  <c r="AI886" i="1"/>
  <c r="AJ887" i="1"/>
  <c r="AF897" i="1"/>
  <c r="AG898" i="1"/>
  <c r="AI896" i="1"/>
  <c r="AJ897" i="1"/>
  <c r="AI917" i="1"/>
  <c r="AJ918" i="1"/>
  <c r="AG843" i="1"/>
  <c r="AI852" i="1"/>
  <c r="AJ853" i="1"/>
  <c r="AG824" i="1"/>
  <c r="AG835" i="1"/>
  <c r="AJ873" i="1"/>
  <c r="AG874" i="1"/>
  <c r="AG814" i="1"/>
  <c r="AJ823" i="1"/>
  <c r="AI844" i="1"/>
  <c r="AJ845" i="1"/>
  <c r="AJ835" i="1"/>
  <c r="AG854" i="1"/>
  <c r="AJ815" i="1"/>
  <c r="AI815" i="1"/>
  <c r="AF936" i="1"/>
  <c r="AG937" i="1"/>
  <c r="AG864" i="1"/>
  <c r="AF864" i="1"/>
  <c r="AI863" i="1"/>
  <c r="AJ864" i="1"/>
  <c r="AI887" i="1"/>
  <c r="AJ888" i="1"/>
  <c r="AI937" i="1"/>
  <c r="AJ938" i="1"/>
  <c r="AI907" i="1"/>
  <c r="AJ908" i="1"/>
  <c r="AI928" i="1"/>
  <c r="AJ929" i="1"/>
  <c r="AI897" i="1"/>
  <c r="AJ898" i="1"/>
  <c r="AF898" i="1"/>
  <c r="AG899" i="1"/>
  <c r="AF906" i="1"/>
  <c r="AG907" i="1"/>
  <c r="AF927" i="1"/>
  <c r="AG928" i="1"/>
  <c r="AF916" i="1"/>
  <c r="AG917" i="1"/>
  <c r="AF886" i="1"/>
  <c r="AG887" i="1"/>
  <c r="AJ919" i="1"/>
  <c r="AI918" i="1"/>
  <c r="AF824" i="1"/>
  <c r="AG825" i="1"/>
  <c r="AI845" i="1"/>
  <c r="AJ846" i="1"/>
  <c r="AF814" i="1"/>
  <c r="AG815" i="1"/>
  <c r="AI873" i="1"/>
  <c r="AJ874" i="1"/>
  <c r="AJ854" i="1"/>
  <c r="AI853" i="1"/>
  <c r="AI835" i="1"/>
  <c r="AJ836" i="1"/>
  <c r="AF874" i="1"/>
  <c r="AG875" i="1"/>
  <c r="AF835" i="1"/>
  <c r="AG836" i="1"/>
  <c r="AI823" i="1"/>
  <c r="AJ824" i="1"/>
  <c r="AF854" i="1"/>
  <c r="AG855" i="1"/>
  <c r="AF843" i="1"/>
  <c r="AG844" i="1"/>
  <c r="AJ816" i="1"/>
  <c r="AF937" i="1"/>
  <c r="AG938" i="1"/>
  <c r="AG865" i="1"/>
  <c r="AG866" i="1"/>
  <c r="AI864" i="1"/>
  <c r="AJ865" i="1"/>
  <c r="AI908" i="1"/>
  <c r="AJ909" i="1"/>
  <c r="AF917" i="1"/>
  <c r="AG918" i="1"/>
  <c r="AF907" i="1"/>
  <c r="AG908" i="1"/>
  <c r="AI888" i="1"/>
  <c r="AJ889" i="1"/>
  <c r="AI919" i="1"/>
  <c r="AJ920" i="1"/>
  <c r="AF887" i="1"/>
  <c r="AG888" i="1"/>
  <c r="AF928" i="1"/>
  <c r="AG929" i="1"/>
  <c r="AF899" i="1"/>
  <c r="AG900" i="1"/>
  <c r="AI929" i="1"/>
  <c r="AJ930" i="1"/>
  <c r="AI938" i="1"/>
  <c r="AJ939" i="1"/>
  <c r="AI898" i="1"/>
  <c r="AJ899" i="1"/>
  <c r="AI836" i="1"/>
  <c r="AJ837" i="1"/>
  <c r="AF844" i="1"/>
  <c r="AG845" i="1"/>
  <c r="AI874" i="1"/>
  <c r="AJ875" i="1"/>
  <c r="AF855" i="1"/>
  <c r="AG856" i="1"/>
  <c r="AI816" i="1"/>
  <c r="AJ817" i="1"/>
  <c r="AF836" i="1"/>
  <c r="AG837" i="1"/>
  <c r="AF875" i="1"/>
  <c r="AG876" i="1"/>
  <c r="AF815" i="1"/>
  <c r="AG816" i="1"/>
  <c r="AF825" i="1"/>
  <c r="AG826" i="1"/>
  <c r="AI824" i="1"/>
  <c r="AJ825" i="1"/>
  <c r="AI846" i="1"/>
  <c r="AJ847" i="1"/>
  <c r="AJ855" i="1"/>
  <c r="AI854" i="1"/>
  <c r="AF865" i="1"/>
  <c r="AG939" i="1"/>
  <c r="AF938" i="1"/>
  <c r="AI865" i="1"/>
  <c r="AJ866" i="1"/>
  <c r="AI930" i="1"/>
  <c r="AJ931" i="1"/>
  <c r="AI920" i="1"/>
  <c r="AJ921" i="1"/>
  <c r="AI899" i="1"/>
  <c r="AJ900" i="1"/>
  <c r="AI939" i="1"/>
  <c r="AJ940" i="1"/>
  <c r="AF900" i="1"/>
  <c r="AG901" i="1"/>
  <c r="AF888" i="1"/>
  <c r="AG889" i="1"/>
  <c r="AI889" i="1"/>
  <c r="AJ890" i="1"/>
  <c r="AF918" i="1"/>
  <c r="AG919" i="1"/>
  <c r="AF929" i="1"/>
  <c r="AG930" i="1"/>
  <c r="AF908" i="1"/>
  <c r="AG909" i="1"/>
  <c r="AI909" i="1"/>
  <c r="AJ910" i="1"/>
  <c r="AJ856" i="1"/>
  <c r="AI855" i="1"/>
  <c r="AI825" i="1"/>
  <c r="AJ826" i="1"/>
  <c r="AF816" i="1"/>
  <c r="AG817" i="1"/>
  <c r="AF856" i="1"/>
  <c r="AG857" i="1"/>
  <c r="AF866" i="1"/>
  <c r="AG867" i="1"/>
  <c r="AI837" i="1"/>
  <c r="AJ838" i="1"/>
  <c r="AI847" i="1"/>
  <c r="AJ848" i="1"/>
  <c r="AF826" i="1"/>
  <c r="AG827" i="1"/>
  <c r="AF876" i="1"/>
  <c r="AG877" i="1"/>
  <c r="AI817" i="1"/>
  <c r="AJ818" i="1"/>
  <c r="AI875" i="1"/>
  <c r="AJ876" i="1"/>
  <c r="AF845" i="1"/>
  <c r="AG846" i="1"/>
  <c r="AF837" i="1"/>
  <c r="AG838" i="1"/>
  <c r="AF939" i="1"/>
  <c r="AG940" i="1"/>
  <c r="AI866" i="1"/>
  <c r="AJ867" i="1"/>
  <c r="AI910" i="1"/>
  <c r="AJ911" i="1"/>
  <c r="AF919" i="1"/>
  <c r="AG920" i="1"/>
  <c r="AI940" i="1"/>
  <c r="AJ941" i="1"/>
  <c r="AF930" i="1"/>
  <c r="AG931" i="1"/>
  <c r="AF889" i="1"/>
  <c r="AG890" i="1"/>
  <c r="AI921" i="1"/>
  <c r="AK912" i="1"/>
  <c r="AM912" i="1"/>
  <c r="AF909" i="1"/>
  <c r="AG910" i="1"/>
  <c r="AI890" i="1"/>
  <c r="AJ891" i="1"/>
  <c r="AF901" i="1"/>
  <c r="AH892" i="1"/>
  <c r="AL892" i="1"/>
  <c r="AI900" i="1"/>
  <c r="AJ901" i="1"/>
  <c r="AI931" i="1"/>
  <c r="AK922" i="1"/>
  <c r="AM922" i="1"/>
  <c r="AF857" i="1"/>
  <c r="AG858" i="1"/>
  <c r="AF838" i="1"/>
  <c r="AG839" i="1"/>
  <c r="AI818" i="1"/>
  <c r="AJ819" i="1"/>
  <c r="AI838" i="1"/>
  <c r="AJ839" i="1"/>
  <c r="AI826" i="1"/>
  <c r="AJ827" i="1"/>
  <c r="AI876" i="1"/>
  <c r="AJ877" i="1"/>
  <c r="AF877" i="1"/>
  <c r="AG878" i="1"/>
  <c r="AI848" i="1"/>
  <c r="AJ849" i="1"/>
  <c r="AF867" i="1"/>
  <c r="AG868" i="1"/>
  <c r="AF817" i="1"/>
  <c r="AG818" i="1"/>
  <c r="AF846" i="1"/>
  <c r="AG847" i="1"/>
  <c r="AG828" i="1"/>
  <c r="AF827" i="1"/>
  <c r="AJ857" i="1"/>
  <c r="AI856" i="1"/>
  <c r="AF940" i="1"/>
  <c r="AG941" i="1"/>
  <c r="AJ868" i="1"/>
  <c r="AI867" i="1"/>
  <c r="AF910" i="1"/>
  <c r="AG911" i="1"/>
  <c r="AF890" i="1"/>
  <c r="AG891" i="1"/>
  <c r="AI941" i="1"/>
  <c r="AK932" i="1"/>
  <c r="AM932" i="1"/>
  <c r="AI901" i="1"/>
  <c r="AK892" i="1"/>
  <c r="AM892" i="1"/>
  <c r="AN892" i="1"/>
  <c r="AP892" i="1"/>
  <c r="AO892" i="1"/>
  <c r="AI891" i="1"/>
  <c r="AK882" i="1"/>
  <c r="AM882" i="1"/>
  <c r="AF931" i="1"/>
  <c r="AH922" i="1"/>
  <c r="AL922" i="1"/>
  <c r="AN922" i="1"/>
  <c r="AP922" i="1"/>
  <c r="AO922" i="1"/>
  <c r="AF920" i="1"/>
  <c r="AG921" i="1"/>
  <c r="AI911" i="1"/>
  <c r="AK902" i="1"/>
  <c r="AM902" i="1"/>
  <c r="AF868" i="1"/>
  <c r="AG869" i="1"/>
  <c r="AF878" i="1"/>
  <c r="AG879" i="1"/>
  <c r="AI839" i="1"/>
  <c r="AJ840" i="1"/>
  <c r="AJ858" i="1"/>
  <c r="AI857" i="1"/>
  <c r="AF818" i="1"/>
  <c r="AG819" i="1"/>
  <c r="AI849" i="1"/>
  <c r="AJ850" i="1"/>
  <c r="AI877" i="1"/>
  <c r="AJ878" i="1"/>
  <c r="AI827" i="1"/>
  <c r="AJ828" i="1"/>
  <c r="AI819" i="1"/>
  <c r="AJ820" i="1"/>
  <c r="AF858" i="1"/>
  <c r="AG859" i="1"/>
  <c r="AF847" i="1"/>
  <c r="AG848" i="1"/>
  <c r="AF839" i="1"/>
  <c r="AG840" i="1"/>
  <c r="AF828" i="1"/>
  <c r="AG829" i="1"/>
  <c r="AH932" i="1"/>
  <c r="AL932" i="1"/>
  <c r="AN932" i="1"/>
  <c r="AP932" i="1"/>
  <c r="AO932" i="1"/>
  <c r="AF941" i="1"/>
  <c r="AI868" i="1"/>
  <c r="AJ869" i="1"/>
  <c r="AF921" i="1"/>
  <c r="AH912" i="1"/>
  <c r="AL912" i="1"/>
  <c r="AN912" i="1"/>
  <c r="AP912" i="1"/>
  <c r="AO912" i="1"/>
  <c r="AF911" i="1"/>
  <c r="AH902" i="1"/>
  <c r="AL902" i="1"/>
  <c r="AN902" i="1"/>
  <c r="AP902" i="1"/>
  <c r="AO902" i="1"/>
  <c r="AF891" i="1"/>
  <c r="AH882" i="1"/>
  <c r="AL882" i="1"/>
  <c r="AN882" i="1"/>
  <c r="AP882" i="1"/>
  <c r="AO882" i="1"/>
  <c r="AI840" i="1"/>
  <c r="AJ841" i="1"/>
  <c r="AF829" i="1"/>
  <c r="AG830" i="1"/>
  <c r="AI820" i="1"/>
  <c r="AJ821" i="1"/>
  <c r="AF819" i="1"/>
  <c r="AG820" i="1"/>
  <c r="AF869" i="1"/>
  <c r="AG870" i="1"/>
  <c r="AF840" i="1"/>
  <c r="AG841" i="1"/>
  <c r="AF859" i="1"/>
  <c r="AG860" i="1"/>
  <c r="AI828" i="1"/>
  <c r="AJ829" i="1"/>
  <c r="AI850" i="1"/>
  <c r="AJ851" i="1"/>
  <c r="AF879" i="1"/>
  <c r="AG880" i="1"/>
  <c r="AF848" i="1"/>
  <c r="AG849" i="1"/>
  <c r="AI878" i="1"/>
  <c r="AJ879" i="1"/>
  <c r="AJ859" i="1"/>
  <c r="AI858" i="1"/>
  <c r="AJ870" i="1"/>
  <c r="AI869" i="1"/>
  <c r="AJ830" i="1"/>
  <c r="AI829" i="1"/>
  <c r="AF820" i="1"/>
  <c r="AG821" i="1"/>
  <c r="AF880" i="1"/>
  <c r="AG881" i="1"/>
  <c r="AH832" i="1"/>
  <c r="AL832" i="1"/>
  <c r="AF841" i="1"/>
  <c r="AF830" i="1"/>
  <c r="AG831" i="1"/>
  <c r="AI879" i="1"/>
  <c r="AJ880" i="1"/>
  <c r="AI851" i="1"/>
  <c r="AK842" i="1"/>
  <c r="AM842" i="1"/>
  <c r="AF860" i="1"/>
  <c r="AG861" i="1"/>
  <c r="AF870" i="1"/>
  <c r="AG871" i="1"/>
  <c r="AI821" i="1"/>
  <c r="AK812" i="1"/>
  <c r="AM812" i="1"/>
  <c r="AI841" i="1"/>
  <c r="AK832" i="1"/>
  <c r="AM832" i="1"/>
  <c r="AF849" i="1"/>
  <c r="AG850" i="1"/>
  <c r="AJ860" i="1"/>
  <c r="AI859" i="1"/>
  <c r="AI870" i="1"/>
  <c r="AJ871" i="1"/>
  <c r="AF871" i="1"/>
  <c r="AH862" i="1"/>
  <c r="AL862" i="1"/>
  <c r="AF821" i="1"/>
  <c r="AH812" i="1"/>
  <c r="AL812" i="1"/>
  <c r="AN812" i="1"/>
  <c r="AP812" i="1"/>
  <c r="AO812" i="1"/>
  <c r="AJ861" i="1"/>
  <c r="AI860" i="1"/>
  <c r="AN832" i="1"/>
  <c r="AP832" i="1"/>
  <c r="AO832" i="1"/>
  <c r="AF850" i="1"/>
  <c r="AG851" i="1"/>
  <c r="AF861" i="1"/>
  <c r="AH852" i="1"/>
  <c r="AL852" i="1"/>
  <c r="AF831" i="1"/>
  <c r="AH822" i="1"/>
  <c r="AL822" i="1"/>
  <c r="AH872" i="1"/>
  <c r="AL872" i="1"/>
  <c r="AF881" i="1"/>
  <c r="AI880" i="1"/>
  <c r="AJ881" i="1"/>
  <c r="AI830" i="1"/>
  <c r="AJ831" i="1"/>
  <c r="AI871" i="1"/>
  <c r="AK862" i="1"/>
  <c r="AM862" i="1"/>
  <c r="AN862" i="1"/>
  <c r="AP862" i="1"/>
  <c r="AO862" i="1"/>
  <c r="AI831" i="1"/>
  <c r="AK822" i="1"/>
  <c r="AM822" i="1"/>
  <c r="AN822" i="1"/>
  <c r="AP822" i="1"/>
  <c r="AO822" i="1"/>
  <c r="AI881" i="1"/>
  <c r="AK872" i="1"/>
  <c r="AM872" i="1"/>
  <c r="AN872" i="1"/>
  <c r="AP872" i="1"/>
  <c r="AO872" i="1"/>
  <c r="AF851" i="1"/>
  <c r="AH842" i="1"/>
  <c r="AL842" i="1"/>
  <c r="AN842" i="1"/>
  <c r="AP842" i="1"/>
  <c r="AO842" i="1"/>
  <c r="AI861" i="1"/>
  <c r="AK852" i="1"/>
  <c r="AM852" i="1"/>
  <c r="AN852" i="1"/>
  <c r="AP852" i="1"/>
  <c r="AO852" i="1"/>
  <c r="AA811" i="1"/>
  <c r="Y811" i="1"/>
  <c r="X811" i="1"/>
  <c r="AB811" i="1"/>
  <c r="AA810" i="1"/>
  <c r="Y810" i="1"/>
  <c r="X810" i="1"/>
  <c r="AA809" i="1"/>
  <c r="Y809" i="1"/>
  <c r="X809" i="1"/>
  <c r="AA808" i="1"/>
  <c r="Y808" i="1"/>
  <c r="X808" i="1"/>
  <c r="AB808" i="1"/>
  <c r="AA807" i="1"/>
  <c r="Y807" i="1"/>
  <c r="X807" i="1"/>
  <c r="AB807" i="1"/>
  <c r="AA806" i="1"/>
  <c r="Y806" i="1"/>
  <c r="X806" i="1"/>
  <c r="AA805" i="1"/>
  <c r="Y805" i="1"/>
  <c r="X805" i="1"/>
  <c r="AA804" i="1"/>
  <c r="Y804" i="1"/>
  <c r="X804" i="1"/>
  <c r="AB804" i="1"/>
  <c r="AA803" i="1"/>
  <c r="Y803" i="1"/>
  <c r="X803" i="1"/>
  <c r="AB803" i="1"/>
  <c r="AB802" i="1"/>
  <c r="AA802" i="1"/>
  <c r="Y802" i="1"/>
  <c r="X802" i="1"/>
  <c r="R802" i="1"/>
  <c r="Q802" i="1"/>
  <c r="O802" i="1"/>
  <c r="N802" i="1"/>
  <c r="AA801" i="1"/>
  <c r="Y801" i="1"/>
  <c r="X801" i="1"/>
  <c r="AA800" i="1"/>
  <c r="Y800" i="1"/>
  <c r="X800" i="1"/>
  <c r="AA799" i="1"/>
  <c r="Y799" i="1"/>
  <c r="X799" i="1"/>
  <c r="AA798" i="1"/>
  <c r="Y798" i="1"/>
  <c r="X798" i="1"/>
  <c r="AA797" i="1"/>
  <c r="AB797" i="1"/>
  <c r="Y797" i="1"/>
  <c r="X797" i="1"/>
  <c r="AA796" i="1"/>
  <c r="Y796" i="1"/>
  <c r="X796" i="1"/>
  <c r="AA795" i="1"/>
  <c r="Y795" i="1"/>
  <c r="X795" i="1"/>
  <c r="AA794" i="1"/>
  <c r="Y794" i="1"/>
  <c r="X794" i="1"/>
  <c r="AA793" i="1"/>
  <c r="Y793" i="1"/>
  <c r="X793" i="1"/>
  <c r="AA792" i="1"/>
  <c r="Y792" i="1"/>
  <c r="X792" i="1"/>
  <c r="R792" i="1"/>
  <c r="Q792" i="1"/>
  <c r="O792" i="1"/>
  <c r="N792" i="1"/>
  <c r="AA791" i="1"/>
  <c r="Y791" i="1"/>
  <c r="X791" i="1"/>
  <c r="AA790" i="1"/>
  <c r="Y790" i="1"/>
  <c r="X790" i="1"/>
  <c r="AA789" i="1"/>
  <c r="AB789" i="1"/>
  <c r="Y789" i="1"/>
  <c r="X789" i="1"/>
  <c r="AA788" i="1"/>
  <c r="AB788" i="1"/>
  <c r="Y788" i="1"/>
  <c r="X788" i="1"/>
  <c r="AA787" i="1"/>
  <c r="Y787" i="1"/>
  <c r="X787" i="1"/>
  <c r="AA786" i="1"/>
  <c r="Y786" i="1"/>
  <c r="X786" i="1"/>
  <c r="AA785" i="1"/>
  <c r="AB785" i="1"/>
  <c r="Y785" i="1"/>
  <c r="X785" i="1"/>
  <c r="AA784" i="1"/>
  <c r="AB784" i="1"/>
  <c r="Y784" i="1"/>
  <c r="X784" i="1"/>
  <c r="AA783" i="1"/>
  <c r="Y783" i="1"/>
  <c r="X783" i="1"/>
  <c r="AA782" i="1"/>
  <c r="Y782" i="1"/>
  <c r="X782" i="1"/>
  <c r="AB782" i="1"/>
  <c r="R782" i="1"/>
  <c r="Q782" i="1"/>
  <c r="O782" i="1"/>
  <c r="N782" i="1"/>
  <c r="T782" i="1"/>
  <c r="AB781" i="1"/>
  <c r="AA781" i="1"/>
  <c r="Y781" i="1"/>
  <c r="X781" i="1"/>
  <c r="AB780" i="1"/>
  <c r="AA780" i="1"/>
  <c r="Y780" i="1"/>
  <c r="X780" i="1"/>
  <c r="AB779" i="1"/>
  <c r="AA779" i="1"/>
  <c r="Y779" i="1"/>
  <c r="X779" i="1"/>
  <c r="AB778" i="1"/>
  <c r="AA778" i="1"/>
  <c r="Y778" i="1"/>
  <c r="X778" i="1"/>
  <c r="AB777" i="1"/>
  <c r="AA777" i="1"/>
  <c r="Y777" i="1"/>
  <c r="X777" i="1"/>
  <c r="AB776" i="1"/>
  <c r="AA776" i="1"/>
  <c r="Y776" i="1"/>
  <c r="X776" i="1"/>
  <c r="AB775" i="1"/>
  <c r="AA775" i="1"/>
  <c r="Y775" i="1"/>
  <c r="X775" i="1"/>
  <c r="AB774" i="1"/>
  <c r="AA774" i="1"/>
  <c r="Y774" i="1"/>
  <c r="X774" i="1"/>
  <c r="AB773" i="1"/>
  <c r="AA773" i="1"/>
  <c r="Y773" i="1"/>
  <c r="X773" i="1"/>
  <c r="AA772" i="1"/>
  <c r="AB772" i="1"/>
  <c r="Y772" i="1"/>
  <c r="X772" i="1"/>
  <c r="R772" i="1"/>
  <c r="Q772" i="1"/>
  <c r="O772" i="1"/>
  <c r="N772" i="1"/>
  <c r="AA771" i="1"/>
  <c r="Y771" i="1"/>
  <c r="X771" i="1"/>
  <c r="AA770" i="1"/>
  <c r="Y770" i="1"/>
  <c r="X770" i="1"/>
  <c r="AB770" i="1"/>
  <c r="AA769" i="1"/>
  <c r="Y769" i="1"/>
  <c r="X769" i="1"/>
  <c r="AB769" i="1"/>
  <c r="AA768" i="1"/>
  <c r="Y768" i="1"/>
  <c r="X768" i="1"/>
  <c r="AA767" i="1"/>
  <c r="Y767" i="1"/>
  <c r="X767" i="1"/>
  <c r="AA766" i="1"/>
  <c r="Y766" i="1"/>
  <c r="X766" i="1"/>
  <c r="AB766" i="1"/>
  <c r="AA765" i="1"/>
  <c r="Y765" i="1"/>
  <c r="X765" i="1"/>
  <c r="AB765" i="1"/>
  <c r="AA764" i="1"/>
  <c r="Y764" i="1"/>
  <c r="X764" i="1"/>
  <c r="AA763" i="1"/>
  <c r="Y763" i="1"/>
  <c r="X763" i="1"/>
  <c r="AA762" i="1"/>
  <c r="Y762" i="1"/>
  <c r="X762" i="1"/>
  <c r="R762" i="1"/>
  <c r="Q762" i="1"/>
  <c r="O762" i="1"/>
  <c r="N762" i="1"/>
  <c r="AA761" i="1"/>
  <c r="Y761" i="1"/>
  <c r="X761" i="1"/>
  <c r="AA760" i="1"/>
  <c r="Y760" i="1"/>
  <c r="X760" i="1"/>
  <c r="AA759" i="1"/>
  <c r="Y759" i="1"/>
  <c r="X759" i="1"/>
  <c r="AA758" i="1"/>
  <c r="Y758" i="1"/>
  <c r="X758" i="1"/>
  <c r="AA757" i="1"/>
  <c r="Y757" i="1"/>
  <c r="X757" i="1"/>
  <c r="AA756" i="1"/>
  <c r="Y756" i="1"/>
  <c r="X756" i="1"/>
  <c r="AA755" i="1"/>
  <c r="Y755" i="1"/>
  <c r="X755" i="1"/>
  <c r="AA754" i="1"/>
  <c r="Y754" i="1"/>
  <c r="X754" i="1"/>
  <c r="AB754" i="1"/>
  <c r="AA753" i="1"/>
  <c r="Y753" i="1"/>
  <c r="X753" i="1"/>
  <c r="AA752" i="1"/>
  <c r="Y752" i="1"/>
  <c r="X752" i="1"/>
  <c r="R752" i="1"/>
  <c r="Q752" i="1"/>
  <c r="O752" i="1"/>
  <c r="N752" i="1"/>
  <c r="AA751" i="1"/>
  <c r="Y751" i="1"/>
  <c r="X751" i="1"/>
  <c r="AA750" i="1"/>
  <c r="Y750" i="1"/>
  <c r="X750" i="1"/>
  <c r="AA749" i="1"/>
  <c r="Y749" i="1"/>
  <c r="X749" i="1"/>
  <c r="AA748" i="1"/>
  <c r="AB748" i="1"/>
  <c r="Y748" i="1"/>
  <c r="X748" i="1"/>
  <c r="AA747" i="1"/>
  <c r="Y747" i="1"/>
  <c r="X747" i="1"/>
  <c r="AA746" i="1"/>
  <c r="Y746" i="1"/>
  <c r="X746" i="1"/>
  <c r="AB746" i="1"/>
  <c r="AA745" i="1"/>
  <c r="Y745" i="1"/>
  <c r="X745" i="1"/>
  <c r="AA744" i="1"/>
  <c r="Y744" i="1"/>
  <c r="X744" i="1"/>
  <c r="AA743" i="1"/>
  <c r="Y743" i="1"/>
  <c r="X743" i="1"/>
  <c r="AA742" i="1"/>
  <c r="Y742" i="1"/>
  <c r="X742" i="1"/>
  <c r="R742" i="1"/>
  <c r="Q742" i="1"/>
  <c r="O742" i="1"/>
  <c r="N742" i="1"/>
  <c r="AA741" i="1"/>
  <c r="Y741" i="1"/>
  <c r="X741" i="1"/>
  <c r="AA740" i="1"/>
  <c r="Y740" i="1"/>
  <c r="X740" i="1"/>
  <c r="AA739" i="1"/>
  <c r="Y739" i="1"/>
  <c r="X739" i="1"/>
  <c r="AA738" i="1"/>
  <c r="Y738" i="1"/>
  <c r="X738" i="1"/>
  <c r="AA737" i="1"/>
  <c r="Y737" i="1"/>
  <c r="X737" i="1"/>
  <c r="AA736" i="1"/>
  <c r="AB736" i="1"/>
  <c r="Y736" i="1"/>
  <c r="X736" i="1"/>
  <c r="AA735" i="1"/>
  <c r="Y735" i="1"/>
  <c r="X735" i="1"/>
  <c r="AA734" i="1"/>
  <c r="Y734" i="1"/>
  <c r="X734" i="1"/>
  <c r="AA733" i="1"/>
  <c r="Y733" i="1"/>
  <c r="X733" i="1"/>
  <c r="AA732" i="1"/>
  <c r="Y732" i="1"/>
  <c r="X732" i="1"/>
  <c r="R732" i="1"/>
  <c r="Q732" i="1"/>
  <c r="O732" i="1"/>
  <c r="N732" i="1"/>
  <c r="AA731" i="1"/>
  <c r="Y731" i="1"/>
  <c r="X731" i="1"/>
  <c r="AA730" i="1"/>
  <c r="Y730" i="1"/>
  <c r="X730" i="1"/>
  <c r="AA729" i="1"/>
  <c r="Y729" i="1"/>
  <c r="X729" i="1"/>
  <c r="AA728" i="1"/>
  <c r="Y728" i="1"/>
  <c r="X728" i="1"/>
  <c r="AA727" i="1"/>
  <c r="Y727" i="1"/>
  <c r="X727" i="1"/>
  <c r="AA726" i="1"/>
  <c r="Y726" i="1"/>
  <c r="X726" i="1"/>
  <c r="AB726" i="1"/>
  <c r="AA725" i="1"/>
  <c r="Y725" i="1"/>
  <c r="X725" i="1"/>
  <c r="AA724" i="1"/>
  <c r="Y724" i="1"/>
  <c r="X724" i="1"/>
  <c r="AA723" i="1"/>
  <c r="Y723" i="1"/>
  <c r="X723" i="1"/>
  <c r="AA722" i="1"/>
  <c r="Y722" i="1"/>
  <c r="X722" i="1"/>
  <c r="AB722" i="1"/>
  <c r="R722" i="1"/>
  <c r="Q722" i="1"/>
  <c r="O722" i="1"/>
  <c r="N722" i="1"/>
  <c r="T722" i="1"/>
  <c r="S752" i="1"/>
  <c r="AB723" i="1"/>
  <c r="AB727" i="1"/>
  <c r="AJ732" i="1"/>
  <c r="AI732" i="1"/>
  <c r="AB733" i="1"/>
  <c r="AB737" i="1"/>
  <c r="AB739" i="1"/>
  <c r="AJ742" i="1"/>
  <c r="AI742" i="1"/>
  <c r="AB743" i="1"/>
  <c r="AB749" i="1"/>
  <c r="AB751" i="1"/>
  <c r="AJ752" i="1"/>
  <c r="AI752" i="1"/>
  <c r="AG762" i="1"/>
  <c r="AF762" i="1"/>
  <c r="S802" i="1"/>
  <c r="AB745" i="1"/>
  <c r="AB756" i="1"/>
  <c r="AB762" i="1"/>
  <c r="AJ762" i="1"/>
  <c r="AI762" i="1"/>
  <c r="AG802" i="1"/>
  <c r="AF802" i="1"/>
  <c r="AB740" i="1"/>
  <c r="AB744" i="1"/>
  <c r="AB753" i="1"/>
  <c r="AB755" i="1"/>
  <c r="AB761" i="1"/>
  <c r="AB794" i="1"/>
  <c r="AB798" i="1"/>
  <c r="AB735" i="1"/>
  <c r="T742" i="1"/>
  <c r="AB742" i="1"/>
  <c r="AG742" i="1"/>
  <c r="AF742" i="1"/>
  <c r="AB750" i="1"/>
  <c r="AB752" i="1"/>
  <c r="AG752" i="1"/>
  <c r="AF752" i="1"/>
  <c r="AB758" i="1"/>
  <c r="AB760" i="1"/>
  <c r="S762" i="1"/>
  <c r="T762" i="1"/>
  <c r="AB764" i="1"/>
  <c r="AB768" i="1"/>
  <c r="T772" i="1"/>
  <c r="AJ782" i="1"/>
  <c r="AI782" i="1"/>
  <c r="AB783" i="1"/>
  <c r="AB787" i="1"/>
  <c r="AB791" i="1"/>
  <c r="AJ792" i="1"/>
  <c r="AI792" i="1"/>
  <c r="AB796" i="1"/>
  <c r="AB800" i="1"/>
  <c r="T802" i="1"/>
  <c r="AJ722" i="1"/>
  <c r="AI722" i="1"/>
  <c r="AB725" i="1"/>
  <c r="AB729" i="1"/>
  <c r="AB731" i="1"/>
  <c r="AB724" i="1"/>
  <c r="AB728" i="1"/>
  <c r="AB730" i="1"/>
  <c r="T732" i="1"/>
  <c r="AB732" i="1"/>
  <c r="AB734" i="1"/>
  <c r="AB738" i="1"/>
  <c r="AB741" i="1"/>
  <c r="AB747" i="1"/>
  <c r="AB757" i="1"/>
  <c r="AB759" i="1"/>
  <c r="AB763" i="1"/>
  <c r="AB767" i="1"/>
  <c r="AB771" i="1"/>
  <c r="AB786" i="1"/>
  <c r="AB790" i="1"/>
  <c r="T792" i="1"/>
  <c r="AB792" i="1"/>
  <c r="AG792" i="1"/>
  <c r="AB793" i="1"/>
  <c r="AB795" i="1"/>
  <c r="AB799" i="1"/>
  <c r="AB801" i="1"/>
  <c r="AB806" i="1"/>
  <c r="AB810" i="1"/>
  <c r="AB805" i="1"/>
  <c r="AB809" i="1"/>
  <c r="AG722" i="1"/>
  <c r="AF722" i="1"/>
  <c r="AG732" i="1"/>
  <c r="AF732" i="1"/>
  <c r="T752" i="1"/>
  <c r="AG772" i="1"/>
  <c r="AF772" i="1"/>
  <c r="AJ783" i="1"/>
  <c r="AJ763" i="1"/>
  <c r="AI763" i="1"/>
  <c r="S772" i="1"/>
  <c r="AG782" i="1"/>
  <c r="AF782" i="1"/>
  <c r="AG763" i="1"/>
  <c r="AF763" i="1"/>
  <c r="S782" i="1"/>
  <c r="AJ802" i="1"/>
  <c r="AI802" i="1"/>
  <c r="AJ772" i="1"/>
  <c r="S792" i="1"/>
  <c r="AJ723" i="1"/>
  <c r="AI723" i="1"/>
  <c r="AJ793" i="1"/>
  <c r="AI793" i="1"/>
  <c r="AG773" i="1"/>
  <c r="AF773" i="1"/>
  <c r="AJ743" i="1"/>
  <c r="AI743" i="1"/>
  <c r="AG803" i="1"/>
  <c r="AF803" i="1"/>
  <c r="AJ733" i="1"/>
  <c r="AJ753" i="1"/>
  <c r="AJ794" i="1"/>
  <c r="AG764" i="1"/>
  <c r="AF764" i="1"/>
  <c r="AF792" i="1"/>
  <c r="AG793" i="1"/>
  <c r="AF793" i="1"/>
  <c r="AG783" i="1"/>
  <c r="AF783" i="1"/>
  <c r="AG765" i="1"/>
  <c r="AG774" i="1"/>
  <c r="AJ803" i="1"/>
  <c r="AG784" i="1"/>
  <c r="AJ764" i="1"/>
  <c r="AJ724" i="1"/>
  <c r="AG723" i="1"/>
  <c r="AI772" i="1"/>
  <c r="AJ773" i="1"/>
  <c r="AG804" i="1"/>
  <c r="AJ784" i="1"/>
  <c r="AI783" i="1"/>
  <c r="AG753" i="1"/>
  <c r="AG743" i="1"/>
  <c r="AG733" i="1"/>
  <c r="AJ744" i="1"/>
  <c r="AI753" i="1"/>
  <c r="AJ754" i="1"/>
  <c r="AI733" i="1"/>
  <c r="AJ734" i="1"/>
  <c r="AG794" i="1"/>
  <c r="AI794" i="1"/>
  <c r="AJ795" i="1"/>
  <c r="AF804" i="1"/>
  <c r="AG805" i="1"/>
  <c r="AI803" i="1"/>
  <c r="AJ804" i="1"/>
  <c r="AI773" i="1"/>
  <c r="AJ774" i="1"/>
  <c r="AF774" i="1"/>
  <c r="AG775" i="1"/>
  <c r="AF753" i="1"/>
  <c r="AG754" i="1"/>
  <c r="AI724" i="1"/>
  <c r="AJ725" i="1"/>
  <c r="AI744" i="1"/>
  <c r="AJ745" i="1"/>
  <c r="AJ785" i="1"/>
  <c r="AI784" i="1"/>
  <c r="AI764" i="1"/>
  <c r="AJ765" i="1"/>
  <c r="AF743" i="1"/>
  <c r="AG744" i="1"/>
  <c r="AF733" i="1"/>
  <c r="AG734" i="1"/>
  <c r="AF794" i="1"/>
  <c r="AG795" i="1"/>
  <c r="AF723" i="1"/>
  <c r="AG724" i="1"/>
  <c r="AF784" i="1"/>
  <c r="AG785" i="1"/>
  <c r="AF765" i="1"/>
  <c r="AG766" i="1"/>
  <c r="AI754" i="1"/>
  <c r="AJ755" i="1"/>
  <c r="AI734" i="1"/>
  <c r="AJ735" i="1"/>
  <c r="AI795" i="1"/>
  <c r="AJ796" i="1"/>
  <c r="AF734" i="1"/>
  <c r="AG735" i="1"/>
  <c r="AF775" i="1"/>
  <c r="AG776" i="1"/>
  <c r="AF785" i="1"/>
  <c r="AG786" i="1"/>
  <c r="AF795" i="1"/>
  <c r="AG796" i="1"/>
  <c r="AF744" i="1"/>
  <c r="AG745" i="1"/>
  <c r="AI765" i="1"/>
  <c r="AJ766" i="1"/>
  <c r="AI745" i="1"/>
  <c r="AJ746" i="1"/>
  <c r="AF754" i="1"/>
  <c r="AG755" i="1"/>
  <c r="AF805" i="1"/>
  <c r="AG806" i="1"/>
  <c r="AF766" i="1"/>
  <c r="AG767" i="1"/>
  <c r="AF724" i="1"/>
  <c r="AG725" i="1"/>
  <c r="AI725" i="1"/>
  <c r="AJ726" i="1"/>
  <c r="AI774" i="1"/>
  <c r="AJ775" i="1"/>
  <c r="AI804" i="1"/>
  <c r="AJ805" i="1"/>
  <c r="AJ786" i="1"/>
  <c r="AI785" i="1"/>
  <c r="AI755" i="1"/>
  <c r="AJ756" i="1"/>
  <c r="AI735" i="1"/>
  <c r="AJ736" i="1"/>
  <c r="AI796" i="1"/>
  <c r="AJ797" i="1"/>
  <c r="AI805" i="1"/>
  <c r="AJ806" i="1"/>
  <c r="AF725" i="1"/>
  <c r="AG726" i="1"/>
  <c r="AF806" i="1"/>
  <c r="AG807" i="1"/>
  <c r="AI775" i="1"/>
  <c r="AJ776" i="1"/>
  <c r="AF767" i="1"/>
  <c r="AG768" i="1"/>
  <c r="AF755" i="1"/>
  <c r="AG756" i="1"/>
  <c r="AI766" i="1"/>
  <c r="AJ767" i="1"/>
  <c r="AF796" i="1"/>
  <c r="AG797" i="1"/>
  <c r="AF776" i="1"/>
  <c r="AG777" i="1"/>
  <c r="AJ787" i="1"/>
  <c r="AI786" i="1"/>
  <c r="AI746" i="1"/>
  <c r="AJ747" i="1"/>
  <c r="AF745" i="1"/>
  <c r="AG746" i="1"/>
  <c r="AF786" i="1"/>
  <c r="AG787" i="1"/>
  <c r="AF735" i="1"/>
  <c r="AG736" i="1"/>
  <c r="AI726" i="1"/>
  <c r="AJ727" i="1"/>
  <c r="AJ757" i="1"/>
  <c r="AI756" i="1"/>
  <c r="AI736" i="1"/>
  <c r="AJ737" i="1"/>
  <c r="AI797" i="1"/>
  <c r="AJ798" i="1"/>
  <c r="AI727" i="1"/>
  <c r="AJ728" i="1"/>
  <c r="AF787" i="1"/>
  <c r="AG788" i="1"/>
  <c r="AF797" i="1"/>
  <c r="AG798" i="1"/>
  <c r="AF756" i="1"/>
  <c r="AG757" i="1"/>
  <c r="AF768" i="1"/>
  <c r="AG769" i="1"/>
  <c r="AI776" i="1"/>
  <c r="AJ777" i="1"/>
  <c r="AF726" i="1"/>
  <c r="AG727" i="1"/>
  <c r="AJ788" i="1"/>
  <c r="AI787" i="1"/>
  <c r="AF736" i="1"/>
  <c r="AG737" i="1"/>
  <c r="AF746" i="1"/>
  <c r="AG747" i="1"/>
  <c r="AF777" i="1"/>
  <c r="AG778" i="1"/>
  <c r="AI767" i="1"/>
  <c r="AJ768" i="1"/>
  <c r="AF807" i="1"/>
  <c r="AG808" i="1"/>
  <c r="AI806" i="1"/>
  <c r="AJ807" i="1"/>
  <c r="AI747" i="1"/>
  <c r="AJ748" i="1"/>
  <c r="AJ738" i="1"/>
  <c r="AI737" i="1"/>
  <c r="AI757" i="1"/>
  <c r="AJ758" i="1"/>
  <c r="AJ799" i="1"/>
  <c r="AI798" i="1"/>
  <c r="AF808" i="1"/>
  <c r="AG809" i="1"/>
  <c r="AF757" i="1"/>
  <c r="AG758" i="1"/>
  <c r="AJ789" i="1"/>
  <c r="AI788" i="1"/>
  <c r="AF747" i="1"/>
  <c r="AG748" i="1"/>
  <c r="AI777" i="1"/>
  <c r="AJ778" i="1"/>
  <c r="AI807" i="1"/>
  <c r="AJ808" i="1"/>
  <c r="AI768" i="1"/>
  <c r="AJ769" i="1"/>
  <c r="AF737" i="1"/>
  <c r="AG738" i="1"/>
  <c r="AF727" i="1"/>
  <c r="AG728" i="1"/>
  <c r="AF769" i="1"/>
  <c r="AG770" i="1"/>
  <c r="AF798" i="1"/>
  <c r="AG799" i="1"/>
  <c r="AI728" i="1"/>
  <c r="AJ729" i="1"/>
  <c r="AI748" i="1"/>
  <c r="AJ749" i="1"/>
  <c r="AF778" i="1"/>
  <c r="AG779" i="1"/>
  <c r="AF788" i="1"/>
  <c r="AG789" i="1"/>
  <c r="AI758" i="1"/>
  <c r="AJ759" i="1"/>
  <c r="AI738" i="1"/>
  <c r="AJ739" i="1"/>
  <c r="AI799" i="1"/>
  <c r="AJ800" i="1"/>
  <c r="AI749" i="1"/>
  <c r="AJ750" i="1"/>
  <c r="AF758" i="1"/>
  <c r="AG759" i="1"/>
  <c r="AF789" i="1"/>
  <c r="AG790" i="1"/>
  <c r="AF728" i="1"/>
  <c r="AG729" i="1"/>
  <c r="AF779" i="1"/>
  <c r="AG780" i="1"/>
  <c r="AI729" i="1"/>
  <c r="AJ730" i="1"/>
  <c r="AF770" i="1"/>
  <c r="AG771" i="1"/>
  <c r="AF738" i="1"/>
  <c r="AG739" i="1"/>
  <c r="AI769" i="1"/>
  <c r="AJ770" i="1"/>
  <c r="AI808" i="1"/>
  <c r="AJ809" i="1"/>
  <c r="AF748" i="1"/>
  <c r="AG749" i="1"/>
  <c r="AF809" i="1"/>
  <c r="AG810" i="1"/>
  <c r="AF799" i="1"/>
  <c r="AG800" i="1"/>
  <c r="AI778" i="1"/>
  <c r="AJ779" i="1"/>
  <c r="AJ790" i="1"/>
  <c r="AI789" i="1"/>
  <c r="AI739" i="1"/>
  <c r="AJ740" i="1"/>
  <c r="AJ760" i="1"/>
  <c r="AI759" i="1"/>
  <c r="AI800" i="1"/>
  <c r="AJ801" i="1"/>
  <c r="AI779" i="1"/>
  <c r="AJ780" i="1"/>
  <c r="AF800" i="1"/>
  <c r="AG801" i="1"/>
  <c r="AI770" i="1"/>
  <c r="AJ771" i="1"/>
  <c r="AH762" i="1"/>
  <c r="AL762" i="1"/>
  <c r="AF771" i="1"/>
  <c r="AF780" i="1"/>
  <c r="AG781" i="1"/>
  <c r="AF729" i="1"/>
  <c r="AG730" i="1"/>
  <c r="AF759" i="1"/>
  <c r="AG760" i="1"/>
  <c r="AI750" i="1"/>
  <c r="AJ751" i="1"/>
  <c r="AF810" i="1"/>
  <c r="AG811" i="1"/>
  <c r="AI809" i="1"/>
  <c r="AJ810" i="1"/>
  <c r="AF739" i="1"/>
  <c r="AG740" i="1"/>
  <c r="AI730" i="1"/>
  <c r="AJ731" i="1"/>
  <c r="AF790" i="1"/>
  <c r="AG791" i="1"/>
  <c r="AJ791" i="1"/>
  <c r="AI790" i="1"/>
  <c r="AF749" i="1"/>
  <c r="AG750" i="1"/>
  <c r="AI760" i="1"/>
  <c r="AJ761" i="1"/>
  <c r="AI740" i="1"/>
  <c r="AJ741" i="1"/>
  <c r="AI801" i="1"/>
  <c r="AK792" i="1"/>
  <c r="AM792" i="1"/>
  <c r="AF750" i="1"/>
  <c r="AG751" i="1"/>
  <c r="AI731" i="1"/>
  <c r="AK722" i="1"/>
  <c r="AM722" i="1"/>
  <c r="AI810" i="1"/>
  <c r="AJ811" i="1"/>
  <c r="AI751" i="1"/>
  <c r="AK742" i="1"/>
  <c r="AM742" i="1"/>
  <c r="AF730" i="1"/>
  <c r="AG731" i="1"/>
  <c r="AF801" i="1"/>
  <c r="AH792" i="1"/>
  <c r="AL792" i="1"/>
  <c r="AN792" i="1"/>
  <c r="AP792" i="1"/>
  <c r="AO792" i="1"/>
  <c r="AF791" i="1"/>
  <c r="AH782" i="1"/>
  <c r="AL782" i="1"/>
  <c r="AF740" i="1"/>
  <c r="AG741" i="1"/>
  <c r="AH802" i="1"/>
  <c r="AL802" i="1"/>
  <c r="AF811" i="1"/>
  <c r="AF760" i="1"/>
  <c r="AG761" i="1"/>
  <c r="AF781" i="1"/>
  <c r="AH772" i="1"/>
  <c r="AL772" i="1"/>
  <c r="AI771" i="1"/>
  <c r="AK762" i="1"/>
  <c r="AM762" i="1"/>
  <c r="AN762" i="1"/>
  <c r="AP762" i="1"/>
  <c r="AO762" i="1"/>
  <c r="AI780" i="1"/>
  <c r="AJ781" i="1"/>
  <c r="AI791" i="1"/>
  <c r="AK782" i="1"/>
  <c r="AM782" i="1"/>
  <c r="AI741" i="1"/>
  <c r="AK732" i="1"/>
  <c r="AM732" i="1"/>
  <c r="AI761" i="1"/>
  <c r="AK752" i="1"/>
  <c r="AM752" i="1"/>
  <c r="AN782" i="1"/>
  <c r="AP782" i="1"/>
  <c r="AO782" i="1"/>
  <c r="AI781" i="1"/>
  <c r="AK772" i="1"/>
  <c r="AM772" i="1"/>
  <c r="AN772" i="1"/>
  <c r="AP772" i="1"/>
  <c r="AO772" i="1"/>
  <c r="AF731" i="1"/>
  <c r="AH722" i="1"/>
  <c r="AL722" i="1"/>
  <c r="AN722" i="1"/>
  <c r="AP722" i="1"/>
  <c r="AO722" i="1"/>
  <c r="AI811" i="1"/>
  <c r="AK802" i="1"/>
  <c r="AM802" i="1"/>
  <c r="AN802" i="1"/>
  <c r="AP802" i="1"/>
  <c r="AO802" i="1"/>
  <c r="AF751" i="1"/>
  <c r="AH742" i="1"/>
  <c r="AL742" i="1"/>
  <c r="AN742" i="1"/>
  <c r="AP742" i="1"/>
  <c r="AO742" i="1"/>
  <c r="AF761" i="1"/>
  <c r="AH752" i="1"/>
  <c r="AL752" i="1"/>
  <c r="AF741" i="1"/>
  <c r="AH732" i="1"/>
  <c r="AL732" i="1"/>
  <c r="AN732" i="1"/>
  <c r="AP732" i="1"/>
  <c r="AO732" i="1"/>
  <c r="AN752" i="1"/>
  <c r="AP752" i="1"/>
  <c r="AO752" i="1"/>
  <c r="AA721" i="1"/>
  <c r="Y721" i="1"/>
  <c r="X721" i="1"/>
  <c r="AB721" i="1"/>
  <c r="AA720" i="1"/>
  <c r="Y720" i="1"/>
  <c r="X720" i="1"/>
  <c r="AA719" i="1"/>
  <c r="Y719" i="1"/>
  <c r="X719" i="1"/>
  <c r="AA718" i="1"/>
  <c r="Y718" i="1"/>
  <c r="X718" i="1"/>
  <c r="AA717" i="1"/>
  <c r="Y717" i="1"/>
  <c r="X717" i="1"/>
  <c r="AB717" i="1"/>
  <c r="AA716" i="1"/>
  <c r="Y716" i="1"/>
  <c r="X716" i="1"/>
  <c r="AA715" i="1"/>
  <c r="Y715" i="1"/>
  <c r="X715" i="1"/>
  <c r="AA714" i="1"/>
  <c r="Y714" i="1"/>
  <c r="X714" i="1"/>
  <c r="AA713" i="1"/>
  <c r="Y713" i="1"/>
  <c r="X713" i="1"/>
  <c r="AB713" i="1"/>
  <c r="AA712" i="1"/>
  <c r="Y712" i="1"/>
  <c r="X712" i="1"/>
  <c r="R712" i="1"/>
  <c r="Q712" i="1"/>
  <c r="O712" i="1"/>
  <c r="N712" i="1"/>
  <c r="AA711" i="1"/>
  <c r="AB711" i="1"/>
  <c r="Y711" i="1"/>
  <c r="X711" i="1"/>
  <c r="AA710" i="1"/>
  <c r="Y710" i="1"/>
  <c r="X710" i="1"/>
  <c r="AA709" i="1"/>
  <c r="Y709" i="1"/>
  <c r="X709" i="1"/>
  <c r="AA708" i="1"/>
  <c r="Y708" i="1"/>
  <c r="X708" i="1"/>
  <c r="AA707" i="1"/>
  <c r="AB707" i="1"/>
  <c r="Y707" i="1"/>
  <c r="X707" i="1"/>
  <c r="AA706" i="1"/>
  <c r="Y706" i="1"/>
  <c r="X706" i="1"/>
  <c r="AA705" i="1"/>
  <c r="Y705" i="1"/>
  <c r="X705" i="1"/>
  <c r="AA704" i="1"/>
  <c r="Y704" i="1"/>
  <c r="X704" i="1"/>
  <c r="AA703" i="1"/>
  <c r="AB703" i="1"/>
  <c r="Y703" i="1"/>
  <c r="X703" i="1"/>
  <c r="AA702" i="1"/>
  <c r="Y702" i="1"/>
  <c r="AJ702" i="1"/>
  <c r="AI702" i="1"/>
  <c r="X702" i="1"/>
  <c r="R702" i="1"/>
  <c r="Q702" i="1"/>
  <c r="O702" i="1"/>
  <c r="N702" i="1"/>
  <c r="AA701" i="1"/>
  <c r="Y701" i="1"/>
  <c r="X701" i="1"/>
  <c r="AA700" i="1"/>
  <c r="Y700" i="1"/>
  <c r="X700" i="1"/>
  <c r="AA699" i="1"/>
  <c r="AB699" i="1"/>
  <c r="Y699" i="1"/>
  <c r="X699" i="1"/>
  <c r="AA698" i="1"/>
  <c r="Y698" i="1"/>
  <c r="X698" i="1"/>
  <c r="AA697" i="1"/>
  <c r="Y697" i="1"/>
  <c r="X697" i="1"/>
  <c r="AA696" i="1"/>
  <c r="Y696" i="1"/>
  <c r="X696" i="1"/>
  <c r="AA695" i="1"/>
  <c r="AB695" i="1"/>
  <c r="Y695" i="1"/>
  <c r="X695" i="1"/>
  <c r="AA694" i="1"/>
  <c r="Y694" i="1"/>
  <c r="X694" i="1"/>
  <c r="AA693" i="1"/>
  <c r="Y693" i="1"/>
  <c r="X693" i="1"/>
  <c r="AA692" i="1"/>
  <c r="Y692" i="1"/>
  <c r="X692" i="1"/>
  <c r="R692" i="1"/>
  <c r="Q692" i="1"/>
  <c r="O692" i="1"/>
  <c r="N692" i="1"/>
  <c r="AA691" i="1"/>
  <c r="AB691" i="1"/>
  <c r="Y691" i="1"/>
  <c r="X691" i="1"/>
  <c r="AA690" i="1"/>
  <c r="Y690" i="1"/>
  <c r="X690" i="1"/>
  <c r="AA689" i="1"/>
  <c r="Y689" i="1"/>
  <c r="X689" i="1"/>
  <c r="AA688" i="1"/>
  <c r="Y688" i="1"/>
  <c r="X688" i="1"/>
  <c r="AA687" i="1"/>
  <c r="AB687" i="1"/>
  <c r="Y687" i="1"/>
  <c r="X687" i="1"/>
  <c r="AA686" i="1"/>
  <c r="Y686" i="1"/>
  <c r="X686" i="1"/>
  <c r="AA685" i="1"/>
  <c r="Y685" i="1"/>
  <c r="X685" i="1"/>
  <c r="AA684" i="1"/>
  <c r="Y684" i="1"/>
  <c r="X684" i="1"/>
  <c r="AA683" i="1"/>
  <c r="Y683" i="1"/>
  <c r="X683" i="1"/>
  <c r="AA682" i="1"/>
  <c r="Y682" i="1"/>
  <c r="X682" i="1"/>
  <c r="R682" i="1"/>
  <c r="Q682" i="1"/>
  <c r="O682" i="1"/>
  <c r="N682" i="1"/>
  <c r="AA681" i="1"/>
  <c r="Y681" i="1"/>
  <c r="X681" i="1"/>
  <c r="AB681" i="1"/>
  <c r="AA680" i="1"/>
  <c r="Y680" i="1"/>
  <c r="X680" i="1"/>
  <c r="AA679" i="1"/>
  <c r="Y679" i="1"/>
  <c r="X679" i="1"/>
  <c r="AA678" i="1"/>
  <c r="Y678" i="1"/>
  <c r="X678" i="1"/>
  <c r="AA677" i="1"/>
  <c r="Y677" i="1"/>
  <c r="X677" i="1"/>
  <c r="AB677" i="1"/>
  <c r="AA676" i="1"/>
  <c r="Y676" i="1"/>
  <c r="X676" i="1"/>
  <c r="AA675" i="1"/>
  <c r="Y675" i="1"/>
  <c r="X675" i="1"/>
  <c r="AA674" i="1"/>
  <c r="Y674" i="1"/>
  <c r="X674" i="1"/>
  <c r="AA673" i="1"/>
  <c r="Y673" i="1"/>
  <c r="X673" i="1"/>
  <c r="AB673" i="1"/>
  <c r="AA672" i="1"/>
  <c r="Y672" i="1"/>
  <c r="X672" i="1"/>
  <c r="R672" i="1"/>
  <c r="AJ672" i="1"/>
  <c r="AI672" i="1"/>
  <c r="Q672" i="1"/>
  <c r="O672" i="1"/>
  <c r="N672" i="1"/>
  <c r="AA671" i="1"/>
  <c r="AB671" i="1"/>
  <c r="Y671" i="1"/>
  <c r="X671" i="1"/>
  <c r="AA670" i="1"/>
  <c r="Y670" i="1"/>
  <c r="X670" i="1"/>
  <c r="AA669" i="1"/>
  <c r="Y669" i="1"/>
  <c r="X669" i="1"/>
  <c r="AA668" i="1"/>
  <c r="Y668" i="1"/>
  <c r="X668" i="1"/>
  <c r="AA667" i="1"/>
  <c r="AB667" i="1"/>
  <c r="Y667" i="1"/>
  <c r="X667" i="1"/>
  <c r="AA666" i="1"/>
  <c r="Y666" i="1"/>
  <c r="X666" i="1"/>
  <c r="AA665" i="1"/>
  <c r="Y665" i="1"/>
  <c r="X665" i="1"/>
  <c r="AA664" i="1"/>
  <c r="Y664" i="1"/>
  <c r="X664" i="1"/>
  <c r="AA663" i="1"/>
  <c r="AB663" i="1"/>
  <c r="Y663" i="1"/>
  <c r="X663" i="1"/>
  <c r="AA662" i="1"/>
  <c r="Y662" i="1"/>
  <c r="X662" i="1"/>
  <c r="R662" i="1"/>
  <c r="Q662" i="1"/>
  <c r="O662" i="1"/>
  <c r="N662" i="1"/>
  <c r="AB666" i="1"/>
  <c r="AB676" i="1"/>
  <c r="AB680" i="1"/>
  <c r="AB686" i="1"/>
  <c r="AB690" i="1"/>
  <c r="AB662" i="1"/>
  <c r="AB670" i="1"/>
  <c r="AB669" i="1"/>
  <c r="AB675" i="1"/>
  <c r="AB679" i="1"/>
  <c r="AB685" i="1"/>
  <c r="AB689" i="1"/>
  <c r="AB665" i="1"/>
  <c r="AB664" i="1"/>
  <c r="AB668" i="1"/>
  <c r="AB674" i="1"/>
  <c r="AB678" i="1"/>
  <c r="T682" i="1"/>
  <c r="AB684" i="1"/>
  <c r="AB688" i="1"/>
  <c r="AB704" i="1"/>
  <c r="AB708" i="1"/>
  <c r="AB712" i="1"/>
  <c r="AB714" i="1"/>
  <c r="AB718" i="1"/>
  <c r="T672" i="1"/>
  <c r="T692" i="1"/>
  <c r="AB694" i="1"/>
  <c r="AB698" i="1"/>
  <c r="S712" i="1"/>
  <c r="AJ662" i="1"/>
  <c r="AI662" i="1"/>
  <c r="AJ682" i="1"/>
  <c r="AI682" i="1"/>
  <c r="AB683" i="1"/>
  <c r="AJ673" i="1"/>
  <c r="AI673" i="1"/>
  <c r="AG712" i="1"/>
  <c r="AF712" i="1"/>
  <c r="T662" i="1"/>
  <c r="AB693" i="1"/>
  <c r="AB697" i="1"/>
  <c r="AB701" i="1"/>
  <c r="AB706" i="1"/>
  <c r="AB710" i="1"/>
  <c r="T712" i="1"/>
  <c r="AB716" i="1"/>
  <c r="AJ712" i="1"/>
  <c r="AI712" i="1"/>
  <c r="AG662" i="1"/>
  <c r="AF662" i="1"/>
  <c r="AB672" i="1"/>
  <c r="AG672" i="1"/>
  <c r="AF672" i="1"/>
  <c r="AB682" i="1"/>
  <c r="AG682" i="1"/>
  <c r="AB692" i="1"/>
  <c r="AG692" i="1"/>
  <c r="AF692" i="1"/>
  <c r="AB696" i="1"/>
  <c r="AB700" i="1"/>
  <c r="T702" i="1"/>
  <c r="AB702" i="1"/>
  <c r="AG702" i="1"/>
  <c r="AB705" i="1"/>
  <c r="AB709" i="1"/>
  <c r="AB715" i="1"/>
  <c r="AB719" i="1"/>
  <c r="AB720" i="1"/>
  <c r="AJ674" i="1"/>
  <c r="AJ692" i="1"/>
  <c r="AJ703" i="1"/>
  <c r="AI703" i="1"/>
  <c r="S692" i="1"/>
  <c r="S702" i="1"/>
  <c r="AA661" i="1"/>
  <c r="Y661" i="1"/>
  <c r="X661" i="1"/>
  <c r="AA660" i="1"/>
  <c r="Y660" i="1"/>
  <c r="X660" i="1"/>
  <c r="AA659" i="1"/>
  <c r="Y659" i="1"/>
  <c r="X659" i="1"/>
  <c r="AA658" i="1"/>
  <c r="Y658" i="1"/>
  <c r="X658" i="1"/>
  <c r="AA657" i="1"/>
  <c r="Y657" i="1"/>
  <c r="X657" i="1"/>
  <c r="AA656" i="1"/>
  <c r="Y656" i="1"/>
  <c r="X656" i="1"/>
  <c r="AA655" i="1"/>
  <c r="Y655" i="1"/>
  <c r="X655" i="1"/>
  <c r="AA654" i="1"/>
  <c r="Y654" i="1"/>
  <c r="X654" i="1"/>
  <c r="AA653" i="1"/>
  <c r="Y653" i="1"/>
  <c r="X653" i="1"/>
  <c r="AA652" i="1"/>
  <c r="Y652" i="1"/>
  <c r="X652" i="1"/>
  <c r="R652" i="1"/>
  <c r="Q652" i="1"/>
  <c r="O652" i="1"/>
  <c r="N652" i="1"/>
  <c r="S652" i="1"/>
  <c r="AA651" i="1"/>
  <c r="Y651" i="1"/>
  <c r="X651" i="1"/>
  <c r="AB651" i="1"/>
  <c r="AA650" i="1"/>
  <c r="Y650" i="1"/>
  <c r="X650" i="1"/>
  <c r="AA649" i="1"/>
  <c r="Y649" i="1"/>
  <c r="X649" i="1"/>
  <c r="AA648" i="1"/>
  <c r="Y648" i="1"/>
  <c r="X648" i="1"/>
  <c r="AA647" i="1"/>
  <c r="Y647" i="1"/>
  <c r="X647" i="1"/>
  <c r="AB647" i="1"/>
  <c r="AA646" i="1"/>
  <c r="Y646" i="1"/>
  <c r="X646" i="1"/>
  <c r="AA645" i="1"/>
  <c r="Y645" i="1"/>
  <c r="X645" i="1"/>
  <c r="AA644" i="1"/>
  <c r="Y644" i="1"/>
  <c r="X644" i="1"/>
  <c r="AA643" i="1"/>
  <c r="Y643" i="1"/>
  <c r="X643" i="1"/>
  <c r="AB643" i="1"/>
  <c r="AA642" i="1"/>
  <c r="Y642" i="1"/>
  <c r="X642" i="1"/>
  <c r="R642" i="1"/>
  <c r="Q642" i="1"/>
  <c r="O642" i="1"/>
  <c r="N642" i="1"/>
  <c r="AA641" i="1"/>
  <c r="Y641" i="1"/>
  <c r="X641" i="1"/>
  <c r="AA640" i="1"/>
  <c r="Y640" i="1"/>
  <c r="X640" i="1"/>
  <c r="AA639" i="1"/>
  <c r="Y639" i="1"/>
  <c r="X639" i="1"/>
  <c r="AA638" i="1"/>
  <c r="Y638" i="1"/>
  <c r="X638" i="1"/>
  <c r="AA637" i="1"/>
  <c r="Y637" i="1"/>
  <c r="X637" i="1"/>
  <c r="AA636" i="1"/>
  <c r="Y636" i="1"/>
  <c r="X636" i="1"/>
  <c r="AA635" i="1"/>
  <c r="Y635" i="1"/>
  <c r="X635" i="1"/>
  <c r="AA634" i="1"/>
  <c r="Y634" i="1"/>
  <c r="X634" i="1"/>
  <c r="AA633" i="1"/>
  <c r="Y633" i="1"/>
  <c r="X633" i="1"/>
  <c r="AA632" i="1"/>
  <c r="Y632" i="1"/>
  <c r="X632" i="1"/>
  <c r="R632" i="1"/>
  <c r="Q632" i="1"/>
  <c r="O632" i="1"/>
  <c r="N632" i="1"/>
  <c r="AA631" i="1"/>
  <c r="Y631" i="1"/>
  <c r="X631" i="1"/>
  <c r="AB631" i="1"/>
  <c r="AA630" i="1"/>
  <c r="Y630" i="1"/>
  <c r="X630" i="1"/>
  <c r="AA629" i="1"/>
  <c r="Y629" i="1"/>
  <c r="X629" i="1"/>
  <c r="AA628" i="1"/>
  <c r="Y628" i="1"/>
  <c r="X628" i="1"/>
  <c r="AA627" i="1"/>
  <c r="Y627" i="1"/>
  <c r="X627" i="1"/>
  <c r="AB627" i="1"/>
  <c r="AA626" i="1"/>
  <c r="Y626" i="1"/>
  <c r="X626" i="1"/>
  <c r="AA625" i="1"/>
  <c r="Y625" i="1"/>
  <c r="X625" i="1"/>
  <c r="AA624" i="1"/>
  <c r="Y624" i="1"/>
  <c r="X624" i="1"/>
  <c r="AA623" i="1"/>
  <c r="Y623" i="1"/>
  <c r="X623" i="1"/>
  <c r="AB623" i="1"/>
  <c r="AA622" i="1"/>
  <c r="Y622" i="1"/>
  <c r="X622" i="1"/>
  <c r="R622" i="1"/>
  <c r="AJ622" i="1"/>
  <c r="AI622" i="1"/>
  <c r="Q622" i="1"/>
  <c r="O622" i="1"/>
  <c r="N622" i="1"/>
  <c r="AB652" i="1"/>
  <c r="AJ704" i="1"/>
  <c r="AI704" i="1"/>
  <c r="AJ663" i="1"/>
  <c r="AJ683" i="1"/>
  <c r="AG713" i="1"/>
  <c r="AF713" i="1"/>
  <c r="AJ713" i="1"/>
  <c r="AI713" i="1"/>
  <c r="AG663" i="1"/>
  <c r="AF663" i="1"/>
  <c r="T622" i="1"/>
  <c r="AB622" i="1"/>
  <c r="AB626" i="1"/>
  <c r="AB630" i="1"/>
  <c r="AB632" i="1"/>
  <c r="AG632" i="1"/>
  <c r="AF632" i="1"/>
  <c r="AB634" i="1"/>
  <c r="AB638" i="1"/>
  <c r="T642" i="1"/>
  <c r="AB642" i="1"/>
  <c r="AG642" i="1"/>
  <c r="AF642" i="1"/>
  <c r="AB646" i="1"/>
  <c r="AB650" i="1"/>
  <c r="AB654" i="1"/>
  <c r="AB658" i="1"/>
  <c r="S622" i="1"/>
  <c r="AB633" i="1"/>
  <c r="AB637" i="1"/>
  <c r="AB641" i="1"/>
  <c r="AG714" i="1"/>
  <c r="AF714" i="1"/>
  <c r="AF682" i="1"/>
  <c r="AG683" i="1"/>
  <c r="AJ623" i="1"/>
  <c r="AI623" i="1"/>
  <c r="AG652" i="1"/>
  <c r="AF652" i="1"/>
  <c r="AJ652" i="1"/>
  <c r="AI652" i="1"/>
  <c r="AG673" i="1"/>
  <c r="AF673" i="1"/>
  <c r="AB625" i="1"/>
  <c r="AB629" i="1"/>
  <c r="AB636" i="1"/>
  <c r="AB640" i="1"/>
  <c r="AB653" i="1"/>
  <c r="AG653" i="1"/>
  <c r="AF653" i="1"/>
  <c r="AB657" i="1"/>
  <c r="AB661" i="1"/>
  <c r="AG693" i="1"/>
  <c r="AJ632" i="1"/>
  <c r="AI632" i="1"/>
  <c r="AG622" i="1"/>
  <c r="AF622" i="1"/>
  <c r="AB624" i="1"/>
  <c r="AB628" i="1"/>
  <c r="T632" i="1"/>
  <c r="AB635" i="1"/>
  <c r="AB639" i="1"/>
  <c r="AJ642" i="1"/>
  <c r="AI642" i="1"/>
  <c r="T652" i="1"/>
  <c r="AJ653" i="1"/>
  <c r="AI653" i="1"/>
  <c r="AJ714" i="1"/>
  <c r="AI714" i="1"/>
  <c r="AI692" i="1"/>
  <c r="AJ693" i="1"/>
  <c r="AF702" i="1"/>
  <c r="AG703" i="1"/>
  <c r="AJ705" i="1"/>
  <c r="AI674" i="1"/>
  <c r="AJ675" i="1"/>
  <c r="AI663" i="1"/>
  <c r="AJ664" i="1"/>
  <c r="AB656" i="1"/>
  <c r="AB660" i="1"/>
  <c r="AB655" i="1"/>
  <c r="AB659" i="1"/>
  <c r="AB645" i="1"/>
  <c r="AB649" i="1"/>
  <c r="AB644" i="1"/>
  <c r="AB648" i="1"/>
  <c r="AJ715" i="1"/>
  <c r="AG664" i="1"/>
  <c r="AG623" i="1"/>
  <c r="AF623" i="1"/>
  <c r="AI683" i="1"/>
  <c r="AJ684" i="1"/>
  <c r="AG643" i="1"/>
  <c r="AF643" i="1"/>
  <c r="AG674" i="1"/>
  <c r="AF674" i="1"/>
  <c r="AJ633" i="1"/>
  <c r="AI633" i="1"/>
  <c r="AG715" i="1"/>
  <c r="AF715" i="1"/>
  <c r="AJ624" i="1"/>
  <c r="AI624" i="1"/>
  <c r="AG633" i="1"/>
  <c r="AF633" i="1"/>
  <c r="AJ654" i="1"/>
  <c r="AI654" i="1"/>
  <c r="AJ643" i="1"/>
  <c r="AF693" i="1"/>
  <c r="AG694" i="1"/>
  <c r="AJ655" i="1"/>
  <c r="AG624" i="1"/>
  <c r="AF624" i="1"/>
  <c r="AF683" i="1"/>
  <c r="AG684" i="1"/>
  <c r="AG654" i="1"/>
  <c r="AF654" i="1"/>
  <c r="AF664" i="1"/>
  <c r="AG665" i="1"/>
  <c r="AI705" i="1"/>
  <c r="AJ706" i="1"/>
  <c r="AI664" i="1"/>
  <c r="AJ665" i="1"/>
  <c r="AI675" i="1"/>
  <c r="AJ676" i="1"/>
  <c r="AJ694" i="1"/>
  <c r="AI693" i="1"/>
  <c r="AF703" i="1"/>
  <c r="AG704" i="1"/>
  <c r="AI715" i="1"/>
  <c r="AJ716" i="1"/>
  <c r="AG675" i="1"/>
  <c r="AG644" i="1"/>
  <c r="AG634" i="1"/>
  <c r="AG716" i="1"/>
  <c r="AG717" i="1"/>
  <c r="AJ625" i="1"/>
  <c r="AJ634" i="1"/>
  <c r="AJ685" i="1"/>
  <c r="AI684" i="1"/>
  <c r="AF684" i="1"/>
  <c r="AG685" i="1"/>
  <c r="AI655" i="1"/>
  <c r="AJ656" i="1"/>
  <c r="AG625" i="1"/>
  <c r="AF625" i="1"/>
  <c r="AF665" i="1"/>
  <c r="AG666" i="1"/>
  <c r="AF694" i="1"/>
  <c r="AG695" i="1"/>
  <c r="AI643" i="1"/>
  <c r="AJ644" i="1"/>
  <c r="AG655" i="1"/>
  <c r="AG656" i="1"/>
  <c r="AI625" i="1"/>
  <c r="AJ626" i="1"/>
  <c r="AI634" i="1"/>
  <c r="AJ635" i="1"/>
  <c r="AF675" i="1"/>
  <c r="AG676" i="1"/>
  <c r="AF704" i="1"/>
  <c r="AG705" i="1"/>
  <c r="AI716" i="1"/>
  <c r="AJ717" i="1"/>
  <c r="AJ695" i="1"/>
  <c r="AI694" i="1"/>
  <c r="AI665" i="1"/>
  <c r="AJ666" i="1"/>
  <c r="AI706" i="1"/>
  <c r="AJ707" i="1"/>
  <c r="AI676" i="1"/>
  <c r="AJ677" i="1"/>
  <c r="AF655" i="1"/>
  <c r="AF634" i="1"/>
  <c r="AG635" i="1"/>
  <c r="AG626" i="1"/>
  <c r="AF644" i="1"/>
  <c r="AG645" i="1"/>
  <c r="AF716" i="1"/>
  <c r="AI685" i="1"/>
  <c r="AJ686" i="1"/>
  <c r="AF695" i="1"/>
  <c r="AG696" i="1"/>
  <c r="AI626" i="1"/>
  <c r="AJ627" i="1"/>
  <c r="AI635" i="1"/>
  <c r="AJ636" i="1"/>
  <c r="AI656" i="1"/>
  <c r="AJ657" i="1"/>
  <c r="AG718" i="1"/>
  <c r="AF717" i="1"/>
  <c r="AG686" i="1"/>
  <c r="AF685" i="1"/>
  <c r="AI644" i="1"/>
  <c r="AJ645" i="1"/>
  <c r="AF666" i="1"/>
  <c r="AG667" i="1"/>
  <c r="AI677" i="1"/>
  <c r="AJ678" i="1"/>
  <c r="AI717" i="1"/>
  <c r="AJ718" i="1"/>
  <c r="AI666" i="1"/>
  <c r="AJ667" i="1"/>
  <c r="AF705" i="1"/>
  <c r="AG706" i="1"/>
  <c r="AI707" i="1"/>
  <c r="AJ708" i="1"/>
  <c r="AF676" i="1"/>
  <c r="AG677" i="1"/>
  <c r="AJ696" i="1"/>
  <c r="AI695" i="1"/>
  <c r="AF656" i="1"/>
  <c r="AG657" i="1"/>
  <c r="AF645" i="1"/>
  <c r="AG646" i="1"/>
  <c r="AF635" i="1"/>
  <c r="AG636" i="1"/>
  <c r="AF626" i="1"/>
  <c r="AG627" i="1"/>
  <c r="AI686" i="1"/>
  <c r="AJ687" i="1"/>
  <c r="AG687" i="1"/>
  <c r="AF686" i="1"/>
  <c r="AF667" i="1"/>
  <c r="AG668" i="1"/>
  <c r="AI627" i="1"/>
  <c r="AJ628" i="1"/>
  <c r="AI645" i="1"/>
  <c r="AJ646" i="1"/>
  <c r="AI636" i="1"/>
  <c r="AJ637" i="1"/>
  <c r="AF696" i="1"/>
  <c r="AG697" i="1"/>
  <c r="AI657" i="1"/>
  <c r="AJ658" i="1"/>
  <c r="AF718" i="1"/>
  <c r="AG719" i="1"/>
  <c r="AF677" i="1"/>
  <c r="AG678" i="1"/>
  <c r="AI708" i="1"/>
  <c r="AJ709" i="1"/>
  <c r="AJ697" i="1"/>
  <c r="AI696" i="1"/>
  <c r="AI667" i="1"/>
  <c r="AJ668" i="1"/>
  <c r="AI718" i="1"/>
  <c r="AJ719" i="1"/>
  <c r="AF706" i="1"/>
  <c r="AG707" i="1"/>
  <c r="AI678" i="1"/>
  <c r="AJ679" i="1"/>
  <c r="AF657" i="1"/>
  <c r="AG658" i="1"/>
  <c r="AF627" i="1"/>
  <c r="AG628" i="1"/>
  <c r="AF646" i="1"/>
  <c r="AG647" i="1"/>
  <c r="AF636" i="1"/>
  <c r="AG637" i="1"/>
  <c r="AJ688" i="1"/>
  <c r="AI687" i="1"/>
  <c r="AF697" i="1"/>
  <c r="AG698" i="1"/>
  <c r="AF668" i="1"/>
  <c r="AG669" i="1"/>
  <c r="AF719" i="1"/>
  <c r="AG720" i="1"/>
  <c r="AI646" i="1"/>
  <c r="AJ647" i="1"/>
  <c r="AI658" i="1"/>
  <c r="AJ659" i="1"/>
  <c r="AI637" i="1"/>
  <c r="AJ638" i="1"/>
  <c r="AI628" i="1"/>
  <c r="AJ629" i="1"/>
  <c r="AG688" i="1"/>
  <c r="AF687" i="1"/>
  <c r="AJ698" i="1"/>
  <c r="AI697" i="1"/>
  <c r="AF707" i="1"/>
  <c r="AG708" i="1"/>
  <c r="AI719" i="1"/>
  <c r="AJ720" i="1"/>
  <c r="AI668" i="1"/>
  <c r="AJ669" i="1"/>
  <c r="AF678" i="1"/>
  <c r="AG679" i="1"/>
  <c r="AI679" i="1"/>
  <c r="AJ680" i="1"/>
  <c r="AI709" i="1"/>
  <c r="AJ710" i="1"/>
  <c r="AF658" i="1"/>
  <c r="AG659" i="1"/>
  <c r="AF647" i="1"/>
  <c r="AG648" i="1"/>
  <c r="AF637" i="1"/>
  <c r="AG638" i="1"/>
  <c r="AF628" i="1"/>
  <c r="AG629" i="1"/>
  <c r="AI688" i="1"/>
  <c r="AJ689" i="1"/>
  <c r="AJ648" i="1"/>
  <c r="AI647" i="1"/>
  <c r="AG689" i="1"/>
  <c r="AF688" i="1"/>
  <c r="AF669" i="1"/>
  <c r="AG670" i="1"/>
  <c r="AI629" i="1"/>
  <c r="AJ630" i="1"/>
  <c r="AI659" i="1"/>
  <c r="AJ660" i="1"/>
  <c r="AF720" i="1"/>
  <c r="AG721" i="1"/>
  <c r="AG699" i="1"/>
  <c r="AF698" i="1"/>
  <c r="AI638" i="1"/>
  <c r="AJ639" i="1"/>
  <c r="AI680" i="1"/>
  <c r="AJ681" i="1"/>
  <c r="AI710" i="1"/>
  <c r="AJ711" i="1"/>
  <c r="AF679" i="1"/>
  <c r="AG680" i="1"/>
  <c r="AI720" i="1"/>
  <c r="AJ721" i="1"/>
  <c r="AJ699" i="1"/>
  <c r="AI698" i="1"/>
  <c r="AI669" i="1"/>
  <c r="AJ670" i="1"/>
  <c r="AF708" i="1"/>
  <c r="AG709" i="1"/>
  <c r="AF659" i="1"/>
  <c r="AG660" i="1"/>
  <c r="AF629" i="1"/>
  <c r="AG630" i="1"/>
  <c r="AF648" i="1"/>
  <c r="AG649" i="1"/>
  <c r="AF638" i="1"/>
  <c r="AG639" i="1"/>
  <c r="AJ690" i="1"/>
  <c r="AI689" i="1"/>
  <c r="AH712" i="1"/>
  <c r="AL712" i="1"/>
  <c r="AF721" i="1"/>
  <c r="AI630" i="1"/>
  <c r="AJ631" i="1"/>
  <c r="AF689" i="1"/>
  <c r="AG690" i="1"/>
  <c r="AI639" i="1"/>
  <c r="AJ640" i="1"/>
  <c r="AI660" i="1"/>
  <c r="AJ661" i="1"/>
  <c r="AF670" i="1"/>
  <c r="AG671" i="1"/>
  <c r="AF699" i="1"/>
  <c r="AG700" i="1"/>
  <c r="AJ649" i="1"/>
  <c r="AI648" i="1"/>
  <c r="AI711" i="1"/>
  <c r="AK702" i="1"/>
  <c r="AM702" i="1"/>
  <c r="AI721" i="1"/>
  <c r="AK712" i="1"/>
  <c r="AM712" i="1"/>
  <c r="AF680" i="1"/>
  <c r="AG681" i="1"/>
  <c r="AI681" i="1"/>
  <c r="AK672" i="1"/>
  <c r="AM672" i="1"/>
  <c r="AI670" i="1"/>
  <c r="AJ671" i="1"/>
  <c r="AF709" i="1"/>
  <c r="AG710" i="1"/>
  <c r="AJ700" i="1"/>
  <c r="AI699" i="1"/>
  <c r="AF660" i="1"/>
  <c r="AG661" i="1"/>
  <c r="AF639" i="1"/>
  <c r="AG640" i="1"/>
  <c r="AF649" i="1"/>
  <c r="AG650" i="1"/>
  <c r="AF630" i="1"/>
  <c r="AG631" i="1"/>
  <c r="AN712" i="1"/>
  <c r="AP712" i="1"/>
  <c r="AO712" i="1"/>
  <c r="AI690" i="1"/>
  <c r="AJ691" i="1"/>
  <c r="AF671" i="1"/>
  <c r="AH662" i="1"/>
  <c r="AL662" i="1"/>
  <c r="AI640" i="1"/>
  <c r="AJ641" i="1"/>
  <c r="AI631" i="1"/>
  <c r="AK622" i="1"/>
  <c r="AM622" i="1"/>
  <c r="AJ650" i="1"/>
  <c r="AI649" i="1"/>
  <c r="AF700" i="1"/>
  <c r="AG701" i="1"/>
  <c r="AI661" i="1"/>
  <c r="AK652" i="1"/>
  <c r="AM652" i="1"/>
  <c r="AG691" i="1"/>
  <c r="AF690" i="1"/>
  <c r="AI671" i="1"/>
  <c r="AK662" i="1"/>
  <c r="AM662" i="1"/>
  <c r="AF681" i="1"/>
  <c r="AH672" i="1"/>
  <c r="AL672" i="1"/>
  <c r="AN672" i="1"/>
  <c r="AP672" i="1"/>
  <c r="AO672" i="1"/>
  <c r="AJ701" i="1"/>
  <c r="AI700" i="1"/>
  <c r="AF710" i="1"/>
  <c r="AG711" i="1"/>
  <c r="AH652" i="1"/>
  <c r="AL652" i="1"/>
  <c r="AF661" i="1"/>
  <c r="AH622" i="1"/>
  <c r="AL622" i="1"/>
  <c r="AF631" i="1"/>
  <c r="AF640" i="1"/>
  <c r="AG641" i="1"/>
  <c r="AF650" i="1"/>
  <c r="AG651" i="1"/>
  <c r="AN622" i="1"/>
  <c r="AP622" i="1"/>
  <c r="AO622" i="1"/>
  <c r="AN662" i="1"/>
  <c r="AP662" i="1"/>
  <c r="AO662" i="1"/>
  <c r="AI691" i="1"/>
  <c r="AK682" i="1"/>
  <c r="AM682" i="1"/>
  <c r="AI641" i="1"/>
  <c r="AK632" i="1"/>
  <c r="AM632" i="1"/>
  <c r="AN652" i="1"/>
  <c r="AP652" i="1"/>
  <c r="AO652" i="1"/>
  <c r="AJ651" i="1"/>
  <c r="AI650" i="1"/>
  <c r="AF701" i="1"/>
  <c r="AH692" i="1"/>
  <c r="AL692" i="1"/>
  <c r="AF691" i="1"/>
  <c r="AH682" i="1"/>
  <c r="AL682" i="1"/>
  <c r="AI701" i="1"/>
  <c r="AK692" i="1"/>
  <c r="AM692" i="1"/>
  <c r="AN692" i="1"/>
  <c r="AP692" i="1"/>
  <c r="AO692" i="1"/>
  <c r="AF711" i="1"/>
  <c r="AH702" i="1"/>
  <c r="AL702" i="1"/>
  <c r="AN702" i="1"/>
  <c r="AP702" i="1"/>
  <c r="AO702" i="1"/>
  <c r="AH642" i="1"/>
  <c r="AL642" i="1"/>
  <c r="AF651" i="1"/>
  <c r="AH632" i="1"/>
  <c r="AL632" i="1"/>
  <c r="AF641" i="1"/>
  <c r="AN682" i="1"/>
  <c r="AP682" i="1"/>
  <c r="AO682" i="1"/>
  <c r="AN632" i="1"/>
  <c r="AP632" i="1"/>
  <c r="AO632" i="1"/>
  <c r="AK642" i="1"/>
  <c r="AM642" i="1"/>
  <c r="AI651" i="1"/>
  <c r="AN642" i="1"/>
  <c r="AP642" i="1"/>
  <c r="AO642" i="1"/>
  <c r="AA621" i="1"/>
  <c r="Y621" i="1"/>
  <c r="X621" i="1"/>
  <c r="AA620" i="1"/>
  <c r="Y620" i="1"/>
  <c r="X620" i="1"/>
  <c r="AA619" i="1"/>
  <c r="Y619" i="1"/>
  <c r="X619" i="1"/>
  <c r="AA618" i="1"/>
  <c r="Y618" i="1"/>
  <c r="X618" i="1"/>
  <c r="AB618" i="1"/>
  <c r="AA617" i="1"/>
  <c r="Y617" i="1"/>
  <c r="X617" i="1"/>
  <c r="AA616" i="1"/>
  <c r="Y616" i="1"/>
  <c r="X616" i="1"/>
  <c r="AA615" i="1"/>
  <c r="Y615" i="1"/>
  <c r="X615" i="1"/>
  <c r="AA614" i="1"/>
  <c r="Y614" i="1"/>
  <c r="X614" i="1"/>
  <c r="AB614" i="1"/>
  <c r="AA613" i="1"/>
  <c r="Y613" i="1"/>
  <c r="X613" i="1"/>
  <c r="AA612" i="1"/>
  <c r="Y612" i="1"/>
  <c r="X612" i="1"/>
  <c r="R612" i="1"/>
  <c r="Q612" i="1"/>
  <c r="O612" i="1"/>
  <c r="N612" i="1"/>
  <c r="AA611" i="1"/>
  <c r="Y611" i="1"/>
  <c r="X611" i="1"/>
  <c r="AA610" i="1"/>
  <c r="Y610" i="1"/>
  <c r="X610" i="1"/>
  <c r="AA609" i="1"/>
  <c r="Y609" i="1"/>
  <c r="X609" i="1"/>
  <c r="AA608" i="1"/>
  <c r="AB608" i="1"/>
  <c r="Y608" i="1"/>
  <c r="X608" i="1"/>
  <c r="AA607" i="1"/>
  <c r="Y607" i="1"/>
  <c r="X607" i="1"/>
  <c r="AA606" i="1"/>
  <c r="Y606" i="1"/>
  <c r="X606" i="1"/>
  <c r="AA605" i="1"/>
  <c r="Y605" i="1"/>
  <c r="X605" i="1"/>
  <c r="AA604" i="1"/>
  <c r="AB604" i="1"/>
  <c r="Y604" i="1"/>
  <c r="X604" i="1"/>
  <c r="AA603" i="1"/>
  <c r="Y603" i="1"/>
  <c r="X603" i="1"/>
  <c r="AA602" i="1"/>
  <c r="Y602" i="1"/>
  <c r="X602" i="1"/>
  <c r="AB602" i="1"/>
  <c r="R602" i="1"/>
  <c r="Q602" i="1"/>
  <c r="O602" i="1"/>
  <c r="N602" i="1"/>
  <c r="T602" i="1"/>
  <c r="AA601" i="1"/>
  <c r="Y601" i="1"/>
  <c r="X601" i="1"/>
  <c r="AA600" i="1"/>
  <c r="AB600" i="1"/>
  <c r="Y600" i="1"/>
  <c r="X600" i="1"/>
  <c r="AA599" i="1"/>
  <c r="Y599" i="1"/>
  <c r="X599" i="1"/>
  <c r="AA598" i="1"/>
  <c r="Y598" i="1"/>
  <c r="X598" i="1"/>
  <c r="AB598" i="1"/>
  <c r="AA597" i="1"/>
  <c r="Y597" i="1"/>
  <c r="X597" i="1"/>
  <c r="AA596" i="1"/>
  <c r="Y596" i="1"/>
  <c r="X596" i="1"/>
  <c r="AA595" i="1"/>
  <c r="Y595" i="1"/>
  <c r="X595" i="1"/>
  <c r="AA594" i="1"/>
  <c r="Y594" i="1"/>
  <c r="X594" i="1"/>
  <c r="AA593" i="1"/>
  <c r="Y593" i="1"/>
  <c r="X593" i="1"/>
  <c r="AA592" i="1"/>
  <c r="Y592" i="1"/>
  <c r="X592" i="1"/>
  <c r="R592" i="1"/>
  <c r="Q592" i="1"/>
  <c r="O592" i="1"/>
  <c r="N592" i="1"/>
  <c r="AA591" i="1"/>
  <c r="Y591" i="1"/>
  <c r="X591" i="1"/>
  <c r="AA590" i="1"/>
  <c r="Y590" i="1"/>
  <c r="X590" i="1"/>
  <c r="AA589" i="1"/>
  <c r="Y589" i="1"/>
  <c r="X589" i="1"/>
  <c r="AA588" i="1"/>
  <c r="Y588" i="1"/>
  <c r="X588" i="1"/>
  <c r="AA587" i="1"/>
  <c r="Y587" i="1"/>
  <c r="X587" i="1"/>
  <c r="AA586" i="1"/>
  <c r="Y586" i="1"/>
  <c r="X586" i="1"/>
  <c r="AA585" i="1"/>
  <c r="Y585" i="1"/>
  <c r="X585" i="1"/>
  <c r="AA584" i="1"/>
  <c r="Y584" i="1"/>
  <c r="X584" i="1"/>
  <c r="AA583" i="1"/>
  <c r="Y583" i="1"/>
  <c r="X583" i="1"/>
  <c r="AA582" i="1"/>
  <c r="Y582" i="1"/>
  <c r="X582" i="1"/>
  <c r="R582" i="1"/>
  <c r="Q582" i="1"/>
  <c r="O582" i="1"/>
  <c r="N582" i="1"/>
  <c r="S612" i="1"/>
  <c r="AJ582" i="1"/>
  <c r="AI582" i="1"/>
  <c r="AB605" i="1"/>
  <c r="AB609" i="1"/>
  <c r="AB584" i="1"/>
  <c r="AB588" i="1"/>
  <c r="AB585" i="1"/>
  <c r="AB589" i="1"/>
  <c r="AJ592" i="1"/>
  <c r="AI592" i="1"/>
  <c r="AB593" i="1"/>
  <c r="AB597" i="1"/>
  <c r="AJ602" i="1"/>
  <c r="AI602" i="1"/>
  <c r="T592" i="1"/>
  <c r="AB592" i="1"/>
  <c r="AB612" i="1"/>
  <c r="AG612" i="1"/>
  <c r="AB594" i="1"/>
  <c r="AJ612" i="1"/>
  <c r="AI612" i="1"/>
  <c r="AB596" i="1"/>
  <c r="AB603" i="1"/>
  <c r="AB607" i="1"/>
  <c r="AB611" i="1"/>
  <c r="AB613" i="1"/>
  <c r="AB617" i="1"/>
  <c r="AB621" i="1"/>
  <c r="T582" i="1"/>
  <c r="AB582" i="1"/>
  <c r="AG582" i="1"/>
  <c r="AB583" i="1"/>
  <c r="AB587" i="1"/>
  <c r="AB591" i="1"/>
  <c r="AJ593" i="1"/>
  <c r="AI593" i="1"/>
  <c r="AJ583" i="1"/>
  <c r="AI583" i="1"/>
  <c r="AB586" i="1"/>
  <c r="AB590" i="1"/>
  <c r="AB595" i="1"/>
  <c r="AB599" i="1"/>
  <c r="AB601" i="1"/>
  <c r="AB606" i="1"/>
  <c r="AB610" i="1"/>
  <c r="T612" i="1"/>
  <c r="AB616" i="1"/>
  <c r="AB620" i="1"/>
  <c r="AB615" i="1"/>
  <c r="AB619" i="1"/>
  <c r="AG592" i="1"/>
  <c r="AG602" i="1"/>
  <c r="AF602" i="1"/>
  <c r="AJ613" i="1"/>
  <c r="AI613" i="1"/>
  <c r="AJ584" i="1"/>
  <c r="AI584" i="1"/>
  <c r="AJ603" i="1"/>
  <c r="AI603" i="1"/>
  <c r="AF612" i="1"/>
  <c r="AG613" i="1"/>
  <c r="AF613" i="1"/>
  <c r="AF582" i="1"/>
  <c r="AG583" i="1"/>
  <c r="AJ594" i="1"/>
  <c r="AJ585" i="1"/>
  <c r="AG603" i="1"/>
  <c r="AF603" i="1"/>
  <c r="AF592" i="1"/>
  <c r="AG593" i="1"/>
  <c r="AJ614" i="1"/>
  <c r="AJ604" i="1"/>
  <c r="AG604" i="1"/>
  <c r="AG605" i="1"/>
  <c r="AG614" i="1"/>
  <c r="AF614" i="1"/>
  <c r="AI585" i="1"/>
  <c r="AJ586" i="1"/>
  <c r="AI594" i="1"/>
  <c r="AJ595" i="1"/>
  <c r="AI604" i="1"/>
  <c r="AJ605" i="1"/>
  <c r="AF583" i="1"/>
  <c r="AG584" i="1"/>
  <c r="AF593" i="1"/>
  <c r="AG594" i="1"/>
  <c r="AF604" i="1"/>
  <c r="AI614" i="1"/>
  <c r="AJ615" i="1"/>
  <c r="AG615" i="1"/>
  <c r="AF615" i="1"/>
  <c r="AF584" i="1"/>
  <c r="AG585" i="1"/>
  <c r="AI595" i="1"/>
  <c r="AJ596" i="1"/>
  <c r="AI605" i="1"/>
  <c r="AJ606" i="1"/>
  <c r="AI586" i="1"/>
  <c r="AJ587" i="1"/>
  <c r="AG616" i="1"/>
  <c r="AF605" i="1"/>
  <c r="AG606" i="1"/>
  <c r="AF594" i="1"/>
  <c r="AG595" i="1"/>
  <c r="AI615" i="1"/>
  <c r="AJ616" i="1"/>
  <c r="AI596" i="1"/>
  <c r="AJ597" i="1"/>
  <c r="AI606" i="1"/>
  <c r="AJ607" i="1"/>
  <c r="AI587" i="1"/>
  <c r="AJ588" i="1"/>
  <c r="AF585" i="1"/>
  <c r="AG586" i="1"/>
  <c r="AF616" i="1"/>
  <c r="AG617" i="1"/>
  <c r="AF595" i="1"/>
  <c r="AG596" i="1"/>
  <c r="AF606" i="1"/>
  <c r="AG607" i="1"/>
  <c r="AJ617" i="1"/>
  <c r="AI616" i="1"/>
  <c r="AJ608" i="1"/>
  <c r="AI607" i="1"/>
  <c r="AG587" i="1"/>
  <c r="AF586" i="1"/>
  <c r="AJ589" i="1"/>
  <c r="AI588" i="1"/>
  <c r="AI597" i="1"/>
  <c r="AJ598" i="1"/>
  <c r="AF617" i="1"/>
  <c r="AG618" i="1"/>
  <c r="AF607" i="1"/>
  <c r="AG608" i="1"/>
  <c r="AF596" i="1"/>
  <c r="AG597" i="1"/>
  <c r="AI617" i="1"/>
  <c r="AJ618" i="1"/>
  <c r="AI589" i="1"/>
  <c r="AJ590" i="1"/>
  <c r="AJ609" i="1"/>
  <c r="AI608" i="1"/>
  <c r="AJ599" i="1"/>
  <c r="AI598" i="1"/>
  <c r="AG588" i="1"/>
  <c r="AF587" i="1"/>
  <c r="AF618" i="1"/>
  <c r="AG619" i="1"/>
  <c r="AF597" i="1"/>
  <c r="AG598" i="1"/>
  <c r="AF608" i="1"/>
  <c r="AG609" i="1"/>
  <c r="AI618" i="1"/>
  <c r="AJ619" i="1"/>
  <c r="AJ610" i="1"/>
  <c r="AI609" i="1"/>
  <c r="AI590" i="1"/>
  <c r="AJ591" i="1"/>
  <c r="AF588" i="1"/>
  <c r="AG589" i="1"/>
  <c r="AJ600" i="1"/>
  <c r="AI599" i="1"/>
  <c r="AF619" i="1"/>
  <c r="AG620" i="1"/>
  <c r="AF609" i="1"/>
  <c r="AG610" i="1"/>
  <c r="AF598" i="1"/>
  <c r="AG599" i="1"/>
  <c r="AI619" i="1"/>
  <c r="AJ620" i="1"/>
  <c r="AF589" i="1"/>
  <c r="AG590" i="1"/>
  <c r="AK582" i="1"/>
  <c r="AM582" i="1"/>
  <c r="AI591" i="1"/>
  <c r="AI600" i="1"/>
  <c r="AJ601" i="1"/>
  <c r="AI610" i="1"/>
  <c r="AJ611" i="1"/>
  <c r="AF620" i="1"/>
  <c r="AG621" i="1"/>
  <c r="AF610" i="1"/>
  <c r="AG611" i="1"/>
  <c r="AF599" i="1"/>
  <c r="AG600" i="1"/>
  <c r="AJ621" i="1"/>
  <c r="AI620" i="1"/>
  <c r="AI601" i="1"/>
  <c r="AK592" i="1"/>
  <c r="AM592" i="1"/>
  <c r="AF590" i="1"/>
  <c r="AG591" i="1"/>
  <c r="AI611" i="1"/>
  <c r="AK602" i="1"/>
  <c r="AM602" i="1"/>
  <c r="AH612" i="1"/>
  <c r="AL612" i="1"/>
  <c r="AF621" i="1"/>
  <c r="AF600" i="1"/>
  <c r="AG601" i="1"/>
  <c r="AF611" i="1"/>
  <c r="AH602" i="1"/>
  <c r="AL602" i="1"/>
  <c r="AK612" i="1"/>
  <c r="AM612" i="1"/>
  <c r="AN612" i="1"/>
  <c r="AP612" i="1"/>
  <c r="AO612" i="1"/>
  <c r="AI621" i="1"/>
  <c r="AN602" i="1"/>
  <c r="AP602" i="1"/>
  <c r="AO602" i="1"/>
  <c r="AF591" i="1"/>
  <c r="AH582" i="1"/>
  <c r="AL582" i="1"/>
  <c r="AN582" i="1"/>
  <c r="AP582" i="1"/>
  <c r="AO582" i="1"/>
  <c r="AF601" i="1"/>
  <c r="AH592" i="1"/>
  <c r="AL592" i="1"/>
  <c r="AN592" i="1"/>
  <c r="AP592" i="1"/>
  <c r="AO592" i="1"/>
  <c r="AA581" i="1"/>
  <c r="Y581" i="1"/>
  <c r="X581" i="1"/>
  <c r="AA580" i="1"/>
  <c r="Y580" i="1"/>
  <c r="X580" i="1"/>
  <c r="AA579" i="1"/>
  <c r="Y579" i="1"/>
  <c r="X579" i="1"/>
  <c r="AA578" i="1"/>
  <c r="Y578" i="1"/>
  <c r="X578" i="1"/>
  <c r="AA577" i="1"/>
  <c r="Y577" i="1"/>
  <c r="X577" i="1"/>
  <c r="AA576" i="1"/>
  <c r="Y576" i="1"/>
  <c r="X576" i="1"/>
  <c r="AA575" i="1"/>
  <c r="Y575" i="1"/>
  <c r="X575" i="1"/>
  <c r="AA574" i="1"/>
  <c r="Y574" i="1"/>
  <c r="X574" i="1"/>
  <c r="AA573" i="1"/>
  <c r="Y573" i="1"/>
  <c r="X573" i="1"/>
  <c r="AA572" i="1"/>
  <c r="Y572" i="1"/>
  <c r="X572" i="1"/>
  <c r="R572" i="1"/>
  <c r="Q572" i="1"/>
  <c r="O572" i="1"/>
  <c r="N572" i="1"/>
  <c r="AA571" i="1"/>
  <c r="Y571" i="1"/>
  <c r="X571" i="1"/>
  <c r="AA570" i="1"/>
  <c r="Y570" i="1"/>
  <c r="X570" i="1"/>
  <c r="AA569" i="1"/>
  <c r="Y569" i="1"/>
  <c r="X569" i="1"/>
  <c r="AA568" i="1"/>
  <c r="Y568" i="1"/>
  <c r="X568" i="1"/>
  <c r="AA567" i="1"/>
  <c r="Y567" i="1"/>
  <c r="X567" i="1"/>
  <c r="AA566" i="1"/>
  <c r="Y566" i="1"/>
  <c r="X566" i="1"/>
  <c r="AA565" i="1"/>
  <c r="Y565" i="1"/>
  <c r="X565" i="1"/>
  <c r="AA564" i="1"/>
  <c r="Y564" i="1"/>
  <c r="X564" i="1"/>
  <c r="AA563" i="1"/>
  <c r="Y563" i="1"/>
  <c r="X563" i="1"/>
  <c r="AA562" i="1"/>
  <c r="Y562" i="1"/>
  <c r="X562" i="1"/>
  <c r="R562" i="1"/>
  <c r="Q562" i="1"/>
  <c r="O562" i="1"/>
  <c r="N562" i="1"/>
  <c r="AB566" i="1"/>
  <c r="AB570" i="1"/>
  <c r="AB574" i="1"/>
  <c r="AB578" i="1"/>
  <c r="AB573" i="1"/>
  <c r="AB577" i="1"/>
  <c r="AB581" i="1"/>
  <c r="AB562" i="1"/>
  <c r="AG562" i="1"/>
  <c r="AF562" i="1"/>
  <c r="AB572" i="1"/>
  <c r="AG572" i="1"/>
  <c r="AF572" i="1"/>
  <c r="AB563" i="1"/>
  <c r="AB567" i="1"/>
  <c r="AB571" i="1"/>
  <c r="AB569" i="1"/>
  <c r="AB576" i="1"/>
  <c r="AB580" i="1"/>
  <c r="AJ572" i="1"/>
  <c r="AI572" i="1"/>
  <c r="T562" i="1"/>
  <c r="AB565" i="1"/>
  <c r="AJ562" i="1"/>
  <c r="AI562" i="1"/>
  <c r="AB564" i="1"/>
  <c r="AB568" i="1"/>
  <c r="T572" i="1"/>
  <c r="AB575" i="1"/>
  <c r="AB579" i="1"/>
  <c r="AG563" i="1"/>
  <c r="AF563" i="1"/>
  <c r="AJ573" i="1"/>
  <c r="AG573" i="1"/>
  <c r="AF573" i="1"/>
  <c r="AJ563" i="1"/>
  <c r="AG564" i="1"/>
  <c r="AI563" i="1"/>
  <c r="AJ564" i="1"/>
  <c r="AG574" i="1"/>
  <c r="AF574" i="1"/>
  <c r="AI573" i="1"/>
  <c r="AJ574" i="1"/>
  <c r="AF564" i="1"/>
  <c r="AG565" i="1"/>
  <c r="AG575" i="1"/>
  <c r="AF575" i="1"/>
  <c r="AI564" i="1"/>
  <c r="AJ565" i="1"/>
  <c r="AI574" i="1"/>
  <c r="AJ575" i="1"/>
  <c r="AG576" i="1"/>
  <c r="AF565" i="1"/>
  <c r="AG566" i="1"/>
  <c r="AJ576" i="1"/>
  <c r="AI575" i="1"/>
  <c r="AI565" i="1"/>
  <c r="AJ566" i="1"/>
  <c r="AF566" i="1"/>
  <c r="AG567" i="1"/>
  <c r="AF576" i="1"/>
  <c r="AG577" i="1"/>
  <c r="AJ567" i="1"/>
  <c r="AI566" i="1"/>
  <c r="AI576" i="1"/>
  <c r="AJ577" i="1"/>
  <c r="AF567" i="1"/>
  <c r="AG568" i="1"/>
  <c r="AF577" i="1"/>
  <c r="AG578" i="1"/>
  <c r="AI577" i="1"/>
  <c r="AJ578" i="1"/>
  <c r="AI567" i="1"/>
  <c r="AJ568" i="1"/>
  <c r="AF578" i="1"/>
  <c r="AG579" i="1"/>
  <c r="AF568" i="1"/>
  <c r="AG569" i="1"/>
  <c r="AJ569" i="1"/>
  <c r="AI568" i="1"/>
  <c r="AJ579" i="1"/>
  <c r="AI578" i="1"/>
  <c r="AF579" i="1"/>
  <c r="AG580" i="1"/>
  <c r="AF569" i="1"/>
  <c r="AG570" i="1"/>
  <c r="AI579" i="1"/>
  <c r="AJ580" i="1"/>
  <c r="AI569" i="1"/>
  <c r="AJ570" i="1"/>
  <c r="AF570" i="1"/>
  <c r="AG571" i="1"/>
  <c r="AF580" i="1"/>
  <c r="AG581" i="1"/>
  <c r="AJ581" i="1"/>
  <c r="AI580" i="1"/>
  <c r="AJ571" i="1"/>
  <c r="AI570" i="1"/>
  <c r="AH572" i="1"/>
  <c r="AL572" i="1"/>
  <c r="AF581" i="1"/>
  <c r="AH562" i="1"/>
  <c r="AL562" i="1"/>
  <c r="AF571" i="1"/>
  <c r="AI571" i="1"/>
  <c r="AK562" i="1"/>
  <c r="AM562" i="1"/>
  <c r="AN562" i="1"/>
  <c r="AP562" i="1"/>
  <c r="AO562" i="1"/>
  <c r="AI581" i="1"/>
  <c r="AK572" i="1"/>
  <c r="AM572" i="1"/>
  <c r="AN572" i="1"/>
  <c r="AP572" i="1"/>
  <c r="AO572" i="1"/>
  <c r="AA561" i="1"/>
  <c r="Y561" i="1"/>
  <c r="X561" i="1"/>
  <c r="AB561" i="1"/>
  <c r="AA560" i="1"/>
  <c r="Y560" i="1"/>
  <c r="X560" i="1"/>
  <c r="AA559" i="1"/>
  <c r="Y559" i="1"/>
  <c r="X559" i="1"/>
  <c r="AA558" i="1"/>
  <c r="Y558" i="1"/>
  <c r="X558" i="1"/>
  <c r="AA557" i="1"/>
  <c r="Y557" i="1"/>
  <c r="X557" i="1"/>
  <c r="AB557" i="1"/>
  <c r="AA556" i="1"/>
  <c r="Y556" i="1"/>
  <c r="X556" i="1"/>
  <c r="AA555" i="1"/>
  <c r="Y555" i="1"/>
  <c r="X555" i="1"/>
  <c r="AA554" i="1"/>
  <c r="Y554" i="1"/>
  <c r="X554" i="1"/>
  <c r="AA553" i="1"/>
  <c r="Y553" i="1"/>
  <c r="X553" i="1"/>
  <c r="AB553" i="1"/>
  <c r="AA552" i="1"/>
  <c r="Y552" i="1"/>
  <c r="X552" i="1"/>
  <c r="R552" i="1"/>
  <c r="Q552" i="1"/>
  <c r="O552" i="1"/>
  <c r="N552" i="1"/>
  <c r="AA551" i="1"/>
  <c r="Y551" i="1"/>
  <c r="X551" i="1"/>
  <c r="AA550" i="1"/>
  <c r="Y550" i="1"/>
  <c r="X550" i="1"/>
  <c r="AA549" i="1"/>
  <c r="Y549" i="1"/>
  <c r="X549" i="1"/>
  <c r="AA548" i="1"/>
  <c r="Y548" i="1"/>
  <c r="X548" i="1"/>
  <c r="AA547" i="1"/>
  <c r="Y547" i="1"/>
  <c r="X547" i="1"/>
  <c r="AA546" i="1"/>
  <c r="Y546" i="1"/>
  <c r="X546" i="1"/>
  <c r="AA545" i="1"/>
  <c r="Y545" i="1"/>
  <c r="X545" i="1"/>
  <c r="AA544" i="1"/>
  <c r="Y544" i="1"/>
  <c r="X544" i="1"/>
  <c r="AA543" i="1"/>
  <c r="Y543" i="1"/>
  <c r="X543" i="1"/>
  <c r="AA542" i="1"/>
  <c r="Y542" i="1"/>
  <c r="X542" i="1"/>
  <c r="R542" i="1"/>
  <c r="Q542" i="1"/>
  <c r="O542" i="1"/>
  <c r="N542" i="1"/>
  <c r="AA541" i="1"/>
  <c r="Y541" i="1"/>
  <c r="X541" i="1"/>
  <c r="AB541" i="1"/>
  <c r="AA540" i="1"/>
  <c r="Y540" i="1"/>
  <c r="X540" i="1"/>
  <c r="AA539" i="1"/>
  <c r="Y539" i="1"/>
  <c r="X539" i="1"/>
  <c r="AA538" i="1"/>
  <c r="Y538" i="1"/>
  <c r="X538" i="1"/>
  <c r="AA537" i="1"/>
  <c r="Y537" i="1"/>
  <c r="X537" i="1"/>
  <c r="AB537" i="1"/>
  <c r="AA536" i="1"/>
  <c r="Y536" i="1"/>
  <c r="X536" i="1"/>
  <c r="AA535" i="1"/>
  <c r="Y535" i="1"/>
  <c r="X535" i="1"/>
  <c r="AA534" i="1"/>
  <c r="Y534" i="1"/>
  <c r="X534" i="1"/>
  <c r="AA533" i="1"/>
  <c r="Y533" i="1"/>
  <c r="X533" i="1"/>
  <c r="AB533" i="1"/>
  <c r="AA532" i="1"/>
  <c r="Y532" i="1"/>
  <c r="X532" i="1"/>
  <c r="R532" i="1"/>
  <c r="Q532" i="1"/>
  <c r="O532" i="1"/>
  <c r="N532" i="1"/>
  <c r="T532" i="1"/>
  <c r="AB532" i="1"/>
  <c r="AG532" i="1"/>
  <c r="AB534" i="1"/>
  <c r="AB538" i="1"/>
  <c r="T542" i="1"/>
  <c r="AB542" i="1"/>
  <c r="AB546" i="1"/>
  <c r="AB550" i="1"/>
  <c r="AB554" i="1"/>
  <c r="AB558" i="1"/>
  <c r="AB552" i="1"/>
  <c r="AB543" i="1"/>
  <c r="AB547" i="1"/>
  <c r="AB551" i="1"/>
  <c r="AG552" i="1"/>
  <c r="AF552" i="1"/>
  <c r="AJ552" i="1"/>
  <c r="AI552" i="1"/>
  <c r="S532" i="1"/>
  <c r="AG542" i="1"/>
  <c r="AF542" i="1"/>
  <c r="AB536" i="1"/>
  <c r="AB540" i="1"/>
  <c r="AB545" i="1"/>
  <c r="AB549" i="1"/>
  <c r="AB556" i="1"/>
  <c r="AB560" i="1"/>
  <c r="AB535" i="1"/>
  <c r="AB539" i="1"/>
  <c r="AB544" i="1"/>
  <c r="AB548" i="1"/>
  <c r="T552" i="1"/>
  <c r="AB555" i="1"/>
  <c r="AB559" i="1"/>
  <c r="AG553" i="1"/>
  <c r="AF553" i="1"/>
  <c r="AJ532" i="1"/>
  <c r="AI532" i="1"/>
  <c r="AJ542" i="1"/>
  <c r="AI542" i="1"/>
  <c r="AJ553" i="1"/>
  <c r="AI553" i="1"/>
  <c r="AF532" i="1"/>
  <c r="AG533" i="1"/>
  <c r="AF533" i="1"/>
  <c r="AG543" i="1"/>
  <c r="AF543" i="1"/>
  <c r="AJ554" i="1"/>
  <c r="AG554" i="1"/>
  <c r="AJ533" i="1"/>
  <c r="AJ543" i="1"/>
  <c r="AG534" i="1"/>
  <c r="AG544" i="1"/>
  <c r="AF544" i="1"/>
  <c r="AI554" i="1"/>
  <c r="AJ555" i="1"/>
  <c r="AF554" i="1"/>
  <c r="AG555" i="1"/>
  <c r="AI533" i="1"/>
  <c r="AJ534" i="1"/>
  <c r="AI543" i="1"/>
  <c r="AJ544" i="1"/>
  <c r="AF534" i="1"/>
  <c r="AG535" i="1"/>
  <c r="AG545" i="1"/>
  <c r="AF545" i="1"/>
  <c r="AI555" i="1"/>
  <c r="AJ556" i="1"/>
  <c r="AF555" i="1"/>
  <c r="AG556" i="1"/>
  <c r="AI544" i="1"/>
  <c r="AJ545" i="1"/>
  <c r="AF535" i="1"/>
  <c r="AG536" i="1"/>
  <c r="AI534" i="1"/>
  <c r="AJ535" i="1"/>
  <c r="AG546" i="1"/>
  <c r="AI556" i="1"/>
  <c r="AJ557" i="1"/>
  <c r="AF556" i="1"/>
  <c r="AG557" i="1"/>
  <c r="AF536" i="1"/>
  <c r="AG537" i="1"/>
  <c r="AI545" i="1"/>
  <c r="AJ546" i="1"/>
  <c r="AI535" i="1"/>
  <c r="AJ536" i="1"/>
  <c r="AF546" i="1"/>
  <c r="AG547" i="1"/>
  <c r="AI557" i="1"/>
  <c r="AJ558" i="1"/>
  <c r="AF557" i="1"/>
  <c r="AG558" i="1"/>
  <c r="AI536" i="1"/>
  <c r="AJ537" i="1"/>
  <c r="AF537" i="1"/>
  <c r="AG538" i="1"/>
  <c r="AI546" i="1"/>
  <c r="AJ547" i="1"/>
  <c r="AF547" i="1"/>
  <c r="AG548" i="1"/>
  <c r="AJ559" i="1"/>
  <c r="AI558" i="1"/>
  <c r="AF558" i="1"/>
  <c r="AG559" i="1"/>
  <c r="AF538" i="1"/>
  <c r="AG539" i="1"/>
  <c r="AI547" i="1"/>
  <c r="AJ548" i="1"/>
  <c r="AI537" i="1"/>
  <c r="AJ538" i="1"/>
  <c r="AG549" i="1"/>
  <c r="AF548" i="1"/>
  <c r="AI559" i="1"/>
  <c r="AJ560" i="1"/>
  <c r="AF559" i="1"/>
  <c r="AG560" i="1"/>
  <c r="AI538" i="1"/>
  <c r="AJ539" i="1"/>
  <c r="AF539" i="1"/>
  <c r="AG540" i="1"/>
  <c r="AI548" i="1"/>
  <c r="AJ549" i="1"/>
  <c r="AF549" i="1"/>
  <c r="AG550" i="1"/>
  <c r="AI560" i="1"/>
  <c r="AJ561" i="1"/>
  <c r="AF560" i="1"/>
  <c r="AG561" i="1"/>
  <c r="AF540" i="1"/>
  <c r="AG541" i="1"/>
  <c r="AI539" i="1"/>
  <c r="AJ540" i="1"/>
  <c r="AI549" i="1"/>
  <c r="AJ550" i="1"/>
  <c r="AF550" i="1"/>
  <c r="AG551" i="1"/>
  <c r="AI561" i="1"/>
  <c r="AK552" i="1"/>
  <c r="AM552" i="1"/>
  <c r="AH552" i="1"/>
  <c r="AL552" i="1"/>
  <c r="AF561" i="1"/>
  <c r="AI550" i="1"/>
  <c r="AJ551" i="1"/>
  <c r="AI540" i="1"/>
  <c r="AJ541" i="1"/>
  <c r="AH532" i="1"/>
  <c r="AL532" i="1"/>
  <c r="AF541" i="1"/>
  <c r="AF551" i="1"/>
  <c r="AH542" i="1"/>
  <c r="AL542" i="1"/>
  <c r="AN552" i="1"/>
  <c r="AP552" i="1"/>
  <c r="AO552" i="1"/>
  <c r="AI551" i="1"/>
  <c r="AK542" i="1"/>
  <c r="AM542" i="1"/>
  <c r="AN542" i="1"/>
  <c r="AP542" i="1"/>
  <c r="AO542" i="1"/>
  <c r="AI541" i="1"/>
  <c r="AK532" i="1"/>
  <c r="AM532" i="1"/>
  <c r="AN532" i="1"/>
  <c r="AP532" i="1"/>
  <c r="AO532" i="1"/>
  <c r="AA531" i="1"/>
  <c r="Y531" i="1"/>
  <c r="X531" i="1"/>
  <c r="AA530" i="1"/>
  <c r="Y530" i="1"/>
  <c r="X530" i="1"/>
  <c r="AA529" i="1"/>
  <c r="Y529" i="1"/>
  <c r="X529" i="1"/>
  <c r="AA528" i="1"/>
  <c r="Y528" i="1"/>
  <c r="X528" i="1"/>
  <c r="AB528" i="1"/>
  <c r="AA527" i="1"/>
  <c r="Y527" i="1"/>
  <c r="X527" i="1"/>
  <c r="AA526" i="1"/>
  <c r="Y526" i="1"/>
  <c r="X526" i="1"/>
  <c r="AA525" i="1"/>
  <c r="Y525" i="1"/>
  <c r="X525" i="1"/>
  <c r="AA524" i="1"/>
  <c r="Y524" i="1"/>
  <c r="X524" i="1"/>
  <c r="AA523" i="1"/>
  <c r="Y523" i="1"/>
  <c r="X523" i="1"/>
  <c r="AA522" i="1"/>
  <c r="Y522" i="1"/>
  <c r="X522" i="1"/>
  <c r="R522" i="1"/>
  <c r="AJ522" i="1"/>
  <c r="AI522" i="1"/>
  <c r="Q522" i="1"/>
  <c r="O522" i="1"/>
  <c r="N522" i="1"/>
  <c r="AA521" i="1"/>
  <c r="Y521" i="1"/>
  <c r="X521" i="1"/>
  <c r="AA520" i="1"/>
  <c r="Y520" i="1"/>
  <c r="X520" i="1"/>
  <c r="AB520" i="1"/>
  <c r="AA519" i="1"/>
  <c r="Y519" i="1"/>
  <c r="X519" i="1"/>
  <c r="AA518" i="1"/>
  <c r="Y518" i="1"/>
  <c r="X518" i="1"/>
  <c r="AA517" i="1"/>
  <c r="Y517" i="1"/>
  <c r="X517" i="1"/>
  <c r="AA516" i="1"/>
  <c r="Y516" i="1"/>
  <c r="X516" i="1"/>
  <c r="AB516" i="1"/>
  <c r="AA515" i="1"/>
  <c r="Y515" i="1"/>
  <c r="X515" i="1"/>
  <c r="AA514" i="1"/>
  <c r="Y514" i="1"/>
  <c r="X514" i="1"/>
  <c r="AA513" i="1"/>
  <c r="Y513" i="1"/>
  <c r="X513" i="1"/>
  <c r="AA512" i="1"/>
  <c r="Y512" i="1"/>
  <c r="X512" i="1"/>
  <c r="AB512" i="1"/>
  <c r="R512" i="1"/>
  <c r="Q512" i="1"/>
  <c r="O512" i="1"/>
  <c r="N512" i="1"/>
  <c r="T512" i="1"/>
  <c r="AA511" i="1"/>
  <c r="Y511" i="1"/>
  <c r="X511" i="1"/>
  <c r="AA510" i="1"/>
  <c r="Y510" i="1"/>
  <c r="X510" i="1"/>
  <c r="AA509" i="1"/>
  <c r="Y509" i="1"/>
  <c r="X509" i="1"/>
  <c r="AA508" i="1"/>
  <c r="Y508" i="1"/>
  <c r="X508" i="1"/>
  <c r="AB508" i="1"/>
  <c r="AA507" i="1"/>
  <c r="Y507" i="1"/>
  <c r="X507" i="1"/>
  <c r="AA506" i="1"/>
  <c r="Y506" i="1"/>
  <c r="X506" i="1"/>
  <c r="AA505" i="1"/>
  <c r="Y505" i="1"/>
  <c r="X505" i="1"/>
  <c r="AA504" i="1"/>
  <c r="Y504" i="1"/>
  <c r="X504" i="1"/>
  <c r="AB504" i="1"/>
  <c r="AA503" i="1"/>
  <c r="Y503" i="1"/>
  <c r="X503" i="1"/>
  <c r="AA502" i="1"/>
  <c r="Y502" i="1"/>
  <c r="X502" i="1"/>
  <c r="R502" i="1"/>
  <c r="Q502" i="1"/>
  <c r="O502" i="1"/>
  <c r="N502" i="1"/>
  <c r="AA501" i="1"/>
  <c r="Y501" i="1"/>
  <c r="X501" i="1"/>
  <c r="AA500" i="1"/>
  <c r="Y500" i="1"/>
  <c r="X500" i="1"/>
  <c r="AA499" i="1"/>
  <c r="Y499" i="1"/>
  <c r="X499" i="1"/>
  <c r="AA498" i="1"/>
  <c r="Y498" i="1"/>
  <c r="X498" i="1"/>
  <c r="AA497" i="1"/>
  <c r="Y497" i="1"/>
  <c r="X497" i="1"/>
  <c r="AA496" i="1"/>
  <c r="Y496" i="1"/>
  <c r="X496" i="1"/>
  <c r="AA495" i="1"/>
  <c r="Y495" i="1"/>
  <c r="X495" i="1"/>
  <c r="AA494" i="1"/>
  <c r="Y494" i="1"/>
  <c r="X494" i="1"/>
  <c r="AA493" i="1"/>
  <c r="Y493" i="1"/>
  <c r="X493" i="1"/>
  <c r="AA492" i="1"/>
  <c r="Y492" i="1"/>
  <c r="X492" i="1"/>
  <c r="R492" i="1"/>
  <c r="Q492" i="1"/>
  <c r="O492" i="1"/>
  <c r="N492" i="1"/>
  <c r="AA491" i="1"/>
  <c r="Y491" i="1"/>
  <c r="X491" i="1"/>
  <c r="AA490" i="1"/>
  <c r="Y490" i="1"/>
  <c r="X490" i="1"/>
  <c r="AA489" i="1"/>
  <c r="Y489" i="1"/>
  <c r="X489" i="1"/>
  <c r="AA488" i="1"/>
  <c r="Y488" i="1"/>
  <c r="X488" i="1"/>
  <c r="AA487" i="1"/>
  <c r="Y487" i="1"/>
  <c r="X487" i="1"/>
  <c r="AA486" i="1"/>
  <c r="Y486" i="1"/>
  <c r="X486" i="1"/>
  <c r="AA485" i="1"/>
  <c r="Y485" i="1"/>
  <c r="X485" i="1"/>
  <c r="AA484" i="1"/>
  <c r="Y484" i="1"/>
  <c r="X484" i="1"/>
  <c r="AA483" i="1"/>
  <c r="Y483" i="1"/>
  <c r="X483" i="1"/>
  <c r="AA482" i="1"/>
  <c r="Y482" i="1"/>
  <c r="X482" i="1"/>
  <c r="R482" i="1"/>
  <c r="Q482" i="1"/>
  <c r="O482" i="1"/>
  <c r="N482" i="1"/>
  <c r="AA481" i="1"/>
  <c r="Y481" i="1"/>
  <c r="X481" i="1"/>
  <c r="AA480" i="1"/>
  <c r="Y480" i="1"/>
  <c r="X480" i="1"/>
  <c r="AB480" i="1"/>
  <c r="AA479" i="1"/>
  <c r="Y479" i="1"/>
  <c r="X479" i="1"/>
  <c r="AA478" i="1"/>
  <c r="Y478" i="1"/>
  <c r="X478" i="1"/>
  <c r="AA477" i="1"/>
  <c r="Y477" i="1"/>
  <c r="X477" i="1"/>
  <c r="AA476" i="1"/>
  <c r="Y476" i="1"/>
  <c r="X476" i="1"/>
  <c r="AA475" i="1"/>
  <c r="Y475" i="1"/>
  <c r="X475" i="1"/>
  <c r="AA474" i="1"/>
  <c r="Y474" i="1"/>
  <c r="X474" i="1"/>
  <c r="AA473" i="1"/>
  <c r="Y473" i="1"/>
  <c r="X473" i="1"/>
  <c r="AA472" i="1"/>
  <c r="Y472" i="1"/>
  <c r="X472" i="1"/>
  <c r="R472" i="1"/>
  <c r="Q472" i="1"/>
  <c r="O472" i="1"/>
  <c r="N472" i="1"/>
  <c r="AA471" i="1"/>
  <c r="Y471" i="1"/>
  <c r="X471" i="1"/>
  <c r="AA470" i="1"/>
  <c r="Y470" i="1"/>
  <c r="X470" i="1"/>
  <c r="AA469" i="1"/>
  <c r="Y469" i="1"/>
  <c r="X469" i="1"/>
  <c r="AA468" i="1"/>
  <c r="Y468" i="1"/>
  <c r="X468" i="1"/>
  <c r="AB468" i="1"/>
  <c r="AA467" i="1"/>
  <c r="Y467" i="1"/>
  <c r="X467" i="1"/>
  <c r="AA466" i="1"/>
  <c r="Y466" i="1"/>
  <c r="X466" i="1"/>
  <c r="AA465" i="1"/>
  <c r="Y465" i="1"/>
  <c r="X465" i="1"/>
  <c r="AA464" i="1"/>
  <c r="Y464" i="1"/>
  <c r="X464" i="1"/>
  <c r="AA463" i="1"/>
  <c r="Y463" i="1"/>
  <c r="X463" i="1"/>
  <c r="AA462" i="1"/>
  <c r="Y462" i="1"/>
  <c r="X462" i="1"/>
  <c r="R462" i="1"/>
  <c r="Q462" i="1"/>
  <c r="O462" i="1"/>
  <c r="N462" i="1"/>
  <c r="AA461" i="1"/>
  <c r="Y461" i="1"/>
  <c r="X461" i="1"/>
  <c r="AA460" i="1"/>
  <c r="Y460" i="1"/>
  <c r="X460" i="1"/>
  <c r="AA459" i="1"/>
  <c r="Y459" i="1"/>
  <c r="X459" i="1"/>
  <c r="AA458" i="1"/>
  <c r="Y458" i="1"/>
  <c r="X458" i="1"/>
  <c r="AA457" i="1"/>
  <c r="Y457" i="1"/>
  <c r="X457" i="1"/>
  <c r="AA456" i="1"/>
  <c r="Y456" i="1"/>
  <c r="X456" i="1"/>
  <c r="AA455" i="1"/>
  <c r="Y455" i="1"/>
  <c r="X455" i="1"/>
  <c r="AA454" i="1"/>
  <c r="Y454" i="1"/>
  <c r="X454" i="1"/>
  <c r="AA453" i="1"/>
  <c r="Y453" i="1"/>
  <c r="X453" i="1"/>
  <c r="AA452" i="1"/>
  <c r="Y452" i="1"/>
  <c r="X452" i="1"/>
  <c r="R452" i="1"/>
  <c r="Q452" i="1"/>
  <c r="O452" i="1"/>
  <c r="N452" i="1"/>
  <c r="AA451" i="1"/>
  <c r="Y451" i="1"/>
  <c r="X451" i="1"/>
  <c r="AA450" i="1"/>
  <c r="Y450" i="1"/>
  <c r="X450" i="1"/>
  <c r="AA449" i="1"/>
  <c r="Y449" i="1"/>
  <c r="X449" i="1"/>
  <c r="AA448" i="1"/>
  <c r="Y448" i="1"/>
  <c r="X448" i="1"/>
  <c r="AA447" i="1"/>
  <c r="Y447" i="1"/>
  <c r="X447" i="1"/>
  <c r="AA446" i="1"/>
  <c r="Y446" i="1"/>
  <c r="X446" i="1"/>
  <c r="AA445" i="1"/>
  <c r="Y445" i="1"/>
  <c r="X445" i="1"/>
  <c r="AA444" i="1"/>
  <c r="Y444" i="1"/>
  <c r="X444" i="1"/>
  <c r="AB444" i="1"/>
  <c r="AA443" i="1"/>
  <c r="Y443" i="1"/>
  <c r="X443" i="1"/>
  <c r="AA442" i="1"/>
  <c r="Y442" i="1"/>
  <c r="X442" i="1"/>
  <c r="R442" i="1"/>
  <c r="Q442" i="1"/>
  <c r="O442" i="1"/>
  <c r="N442" i="1"/>
  <c r="AB459" i="1"/>
  <c r="AB461" i="1"/>
  <c r="AB463" i="1"/>
  <c r="AB465" i="1"/>
  <c r="AB467" i="1"/>
  <c r="AB471" i="1"/>
  <c r="AB485" i="1"/>
  <c r="AB489" i="1"/>
  <c r="AB527" i="1"/>
  <c r="AB458" i="1"/>
  <c r="AB445" i="1"/>
  <c r="AB447" i="1"/>
  <c r="AB451" i="1"/>
  <c r="AJ452" i="1"/>
  <c r="AI452" i="1"/>
  <c r="AB453" i="1"/>
  <c r="AB455" i="1"/>
  <c r="AB457" i="1"/>
  <c r="AJ442" i="1"/>
  <c r="AI442" i="1"/>
  <c r="AB443" i="1"/>
  <c r="T492" i="1"/>
  <c r="T502" i="1"/>
  <c r="AB502" i="1"/>
  <c r="AG502" i="1"/>
  <c r="AF502" i="1"/>
  <c r="AB515" i="1"/>
  <c r="AB519" i="1"/>
  <c r="AB460" i="1"/>
  <c r="AB462" i="1"/>
  <c r="AG462" i="1"/>
  <c r="AF462" i="1"/>
  <c r="AB469" i="1"/>
  <c r="AB497" i="1"/>
  <c r="AB501" i="1"/>
  <c r="AB505" i="1"/>
  <c r="AB509" i="1"/>
  <c r="AB522" i="1"/>
  <c r="AG522" i="1"/>
  <c r="AF522" i="1"/>
  <c r="AB524" i="1"/>
  <c r="AB531" i="1"/>
  <c r="AJ502" i="1"/>
  <c r="AI502" i="1"/>
  <c r="AB503" i="1"/>
  <c r="AB507" i="1"/>
  <c r="AB511" i="1"/>
  <c r="AG512" i="1"/>
  <c r="AF512" i="1"/>
  <c r="AJ512" i="1"/>
  <c r="AI512" i="1"/>
  <c r="AB514" i="1"/>
  <c r="AB518" i="1"/>
  <c r="T522" i="1"/>
  <c r="AB523" i="1"/>
  <c r="AJ503" i="1"/>
  <c r="AI503" i="1"/>
  <c r="AB506" i="1"/>
  <c r="AB510" i="1"/>
  <c r="AB513" i="1"/>
  <c r="AB517" i="1"/>
  <c r="AB521" i="1"/>
  <c r="AB442" i="1"/>
  <c r="AG442" i="1"/>
  <c r="AB446" i="1"/>
  <c r="AB448" i="1"/>
  <c r="AB452" i="1"/>
  <c r="AG452" i="1"/>
  <c r="T472" i="1"/>
  <c r="AB474" i="1"/>
  <c r="AB476" i="1"/>
  <c r="AB491" i="1"/>
  <c r="AB492" i="1"/>
  <c r="AB449" i="1"/>
  <c r="AB454" i="1"/>
  <c r="AB464" i="1"/>
  <c r="AB473" i="1"/>
  <c r="AB475" i="1"/>
  <c r="AB477" i="1"/>
  <c r="AB479" i="1"/>
  <c r="AB482" i="1"/>
  <c r="AB484" i="1"/>
  <c r="AB486" i="1"/>
  <c r="AB490" i="1"/>
  <c r="AB526" i="1"/>
  <c r="AB530" i="1"/>
  <c r="AB525" i="1"/>
  <c r="AB529" i="1"/>
  <c r="AJ504" i="1"/>
  <c r="AI504" i="1"/>
  <c r="AJ523" i="1"/>
  <c r="AI523" i="1"/>
  <c r="AB493" i="1"/>
  <c r="T442" i="1"/>
  <c r="T452" i="1"/>
  <c r="AB456" i="1"/>
  <c r="AJ462" i="1"/>
  <c r="AI462" i="1"/>
  <c r="AB470" i="1"/>
  <c r="AJ472" i="1"/>
  <c r="AJ473" i="1"/>
  <c r="AB478" i="1"/>
  <c r="AB481" i="1"/>
  <c r="AJ482" i="1"/>
  <c r="AI482" i="1"/>
  <c r="AB483" i="1"/>
  <c r="AB488" i="1"/>
  <c r="AJ492" i="1"/>
  <c r="AI492" i="1"/>
  <c r="AB495" i="1"/>
  <c r="AB450" i="1"/>
  <c r="T462" i="1"/>
  <c r="AB466" i="1"/>
  <c r="AB472" i="1"/>
  <c r="AB487" i="1"/>
  <c r="AB499" i="1"/>
  <c r="AJ463" i="1"/>
  <c r="AG472" i="1"/>
  <c r="AF472" i="1"/>
  <c r="AG482" i="1"/>
  <c r="AG492" i="1"/>
  <c r="AJ493" i="1"/>
  <c r="AI493" i="1"/>
  <c r="S472" i="1"/>
  <c r="AB494" i="1"/>
  <c r="AB496" i="1"/>
  <c r="AB498" i="1"/>
  <c r="AB500" i="1"/>
  <c r="T482" i="1"/>
  <c r="S482" i="1"/>
  <c r="S492" i="1"/>
  <c r="AJ443" i="1"/>
  <c r="AJ444" i="1"/>
  <c r="AJ453" i="1"/>
  <c r="AI453" i="1"/>
  <c r="AG513" i="1"/>
  <c r="AF513" i="1"/>
  <c r="AG523" i="1"/>
  <c r="AF523" i="1"/>
  <c r="AG503" i="1"/>
  <c r="AF503" i="1"/>
  <c r="AI443" i="1"/>
  <c r="AG463" i="1"/>
  <c r="AJ494" i="1"/>
  <c r="AI494" i="1"/>
  <c r="AG514" i="1"/>
  <c r="AJ513" i="1"/>
  <c r="AI444" i="1"/>
  <c r="AJ445" i="1"/>
  <c r="AI445" i="1"/>
  <c r="AI472" i="1"/>
  <c r="AG504" i="1"/>
  <c r="AJ524" i="1"/>
  <c r="AJ505" i="1"/>
  <c r="AF452" i="1"/>
  <c r="AG453" i="1"/>
  <c r="AJ483" i="1"/>
  <c r="AI483" i="1"/>
  <c r="AF442" i="1"/>
  <c r="AG443" i="1"/>
  <c r="AI463" i="1"/>
  <c r="AJ464" i="1"/>
  <c r="AG473" i="1"/>
  <c r="AJ474" i="1"/>
  <c r="AI473" i="1"/>
  <c r="AF492" i="1"/>
  <c r="AG493" i="1"/>
  <c r="AF482" i="1"/>
  <c r="AG483" i="1"/>
  <c r="AJ495" i="1"/>
  <c r="AG524" i="1"/>
  <c r="AF524" i="1"/>
  <c r="AJ454" i="1"/>
  <c r="AI454" i="1"/>
  <c r="AF463" i="1"/>
  <c r="AG464" i="1"/>
  <c r="AI513" i="1"/>
  <c r="AJ514" i="1"/>
  <c r="AF514" i="1"/>
  <c r="AG515" i="1"/>
  <c r="AJ446" i="1"/>
  <c r="AI505" i="1"/>
  <c r="AJ506" i="1"/>
  <c r="AI524" i="1"/>
  <c r="AJ525" i="1"/>
  <c r="AF504" i="1"/>
  <c r="AG505" i="1"/>
  <c r="AF453" i="1"/>
  <c r="AG454" i="1"/>
  <c r="AJ484" i="1"/>
  <c r="AJ485" i="1"/>
  <c r="AF483" i="1"/>
  <c r="AG484" i="1"/>
  <c r="AF443" i="1"/>
  <c r="AG444" i="1"/>
  <c r="AI474" i="1"/>
  <c r="AJ475" i="1"/>
  <c r="AI464" i="1"/>
  <c r="AJ465" i="1"/>
  <c r="AF493" i="1"/>
  <c r="AG494" i="1"/>
  <c r="AF473" i="1"/>
  <c r="AG474" i="1"/>
  <c r="AI495" i="1"/>
  <c r="AJ496" i="1"/>
  <c r="AI484" i="1"/>
  <c r="AJ455" i="1"/>
  <c r="AI455" i="1"/>
  <c r="AJ456" i="1"/>
  <c r="AI456" i="1"/>
  <c r="AG525" i="1"/>
  <c r="AF464" i="1"/>
  <c r="AG465" i="1"/>
  <c r="AI514" i="1"/>
  <c r="AJ515" i="1"/>
  <c r="AF515" i="1"/>
  <c r="AG516" i="1"/>
  <c r="AI446" i="1"/>
  <c r="AJ447" i="1"/>
  <c r="AI525" i="1"/>
  <c r="AJ526" i="1"/>
  <c r="AI506" i="1"/>
  <c r="AJ507" i="1"/>
  <c r="AF505" i="1"/>
  <c r="AG506" i="1"/>
  <c r="AF454" i="1"/>
  <c r="AG455" i="1"/>
  <c r="AI496" i="1"/>
  <c r="AJ497" i="1"/>
  <c r="AF474" i="1"/>
  <c r="AG475" i="1"/>
  <c r="AJ476" i="1"/>
  <c r="AI475" i="1"/>
  <c r="AI485" i="1"/>
  <c r="AJ486" i="1"/>
  <c r="AF494" i="1"/>
  <c r="AG495" i="1"/>
  <c r="AI465" i="1"/>
  <c r="AJ466" i="1"/>
  <c r="AF444" i="1"/>
  <c r="AG445" i="1"/>
  <c r="AF484" i="1"/>
  <c r="AG485" i="1"/>
  <c r="AJ457" i="1"/>
  <c r="AF525" i="1"/>
  <c r="AG526" i="1"/>
  <c r="AG466" i="1"/>
  <c r="AF465" i="1"/>
  <c r="AF516" i="1"/>
  <c r="AG517" i="1"/>
  <c r="AI515" i="1"/>
  <c r="AJ516" i="1"/>
  <c r="AJ448" i="1"/>
  <c r="AI447" i="1"/>
  <c r="AF506" i="1"/>
  <c r="AG507" i="1"/>
  <c r="AI507" i="1"/>
  <c r="AJ508" i="1"/>
  <c r="AI526" i="1"/>
  <c r="AJ527" i="1"/>
  <c r="AF455" i="1"/>
  <c r="AG456" i="1"/>
  <c r="AF485" i="1"/>
  <c r="AG486" i="1"/>
  <c r="AI466" i="1"/>
  <c r="AJ467" i="1"/>
  <c r="AI486" i="1"/>
  <c r="AJ487" i="1"/>
  <c r="AF475" i="1"/>
  <c r="AG476" i="1"/>
  <c r="AJ477" i="1"/>
  <c r="AI476" i="1"/>
  <c r="AG446" i="1"/>
  <c r="AF445" i="1"/>
  <c r="AF495" i="1"/>
  <c r="AG496" i="1"/>
  <c r="AI457" i="1"/>
  <c r="AJ458" i="1"/>
  <c r="AI497" i="1"/>
  <c r="AJ498" i="1"/>
  <c r="AF526" i="1"/>
  <c r="AG527" i="1"/>
  <c r="AF466" i="1"/>
  <c r="AG467" i="1"/>
  <c r="AI516" i="1"/>
  <c r="AJ517" i="1"/>
  <c r="AF517" i="1"/>
  <c r="AG518" i="1"/>
  <c r="AJ449" i="1"/>
  <c r="AI448" i="1"/>
  <c r="AI527" i="1"/>
  <c r="AJ528" i="1"/>
  <c r="AF507" i="1"/>
  <c r="AG508" i="1"/>
  <c r="AI508" i="1"/>
  <c r="AJ509" i="1"/>
  <c r="AG457" i="1"/>
  <c r="AF456" i="1"/>
  <c r="AI498" i="1"/>
  <c r="AJ499" i="1"/>
  <c r="AF496" i="1"/>
  <c r="AG497" i="1"/>
  <c r="AI487" i="1"/>
  <c r="AJ488" i="1"/>
  <c r="AI467" i="1"/>
  <c r="AJ468" i="1"/>
  <c r="AJ478" i="1"/>
  <c r="AI477" i="1"/>
  <c r="AI458" i="1"/>
  <c r="AJ459" i="1"/>
  <c r="AF476" i="1"/>
  <c r="AG477" i="1"/>
  <c r="AF486" i="1"/>
  <c r="AG487" i="1"/>
  <c r="AG447" i="1"/>
  <c r="AF446" i="1"/>
  <c r="AF527" i="1"/>
  <c r="AG528" i="1"/>
  <c r="AF467" i="1"/>
  <c r="AG468" i="1"/>
  <c r="AF518" i="1"/>
  <c r="AG519" i="1"/>
  <c r="AI517" i="1"/>
  <c r="AJ518" i="1"/>
  <c r="AJ450" i="1"/>
  <c r="AI449" i="1"/>
  <c r="AI509" i="1"/>
  <c r="AJ510" i="1"/>
  <c r="AF508" i="1"/>
  <c r="AG509" i="1"/>
  <c r="AI528" i="1"/>
  <c r="AJ529" i="1"/>
  <c r="AF457" i="1"/>
  <c r="AG458" i="1"/>
  <c r="AJ489" i="1"/>
  <c r="AI488" i="1"/>
  <c r="AF447" i="1"/>
  <c r="AG448" i="1"/>
  <c r="AI478" i="1"/>
  <c r="AJ479" i="1"/>
  <c r="AF487" i="1"/>
  <c r="AG488" i="1"/>
  <c r="AF477" i="1"/>
  <c r="AG478" i="1"/>
  <c r="AI459" i="1"/>
  <c r="AJ460" i="1"/>
  <c r="AI468" i="1"/>
  <c r="AJ469" i="1"/>
  <c r="AF497" i="1"/>
  <c r="AG498" i="1"/>
  <c r="AI499" i="1"/>
  <c r="AJ500" i="1"/>
  <c r="AF528" i="1"/>
  <c r="AG529" i="1"/>
  <c r="AG469" i="1"/>
  <c r="AF468" i="1"/>
  <c r="AI518" i="1"/>
  <c r="AJ519" i="1"/>
  <c r="AF519" i="1"/>
  <c r="AG520" i="1"/>
  <c r="AI450" i="1"/>
  <c r="AJ451" i="1"/>
  <c r="AF509" i="1"/>
  <c r="AG510" i="1"/>
  <c r="AI529" i="1"/>
  <c r="AJ530" i="1"/>
  <c r="AI510" i="1"/>
  <c r="AJ511" i="1"/>
  <c r="AF458" i="1"/>
  <c r="AG459" i="1"/>
  <c r="AI500" i="1"/>
  <c r="AJ501" i="1"/>
  <c r="AI469" i="1"/>
  <c r="AJ470" i="1"/>
  <c r="AF478" i="1"/>
  <c r="AG479" i="1"/>
  <c r="AJ480" i="1"/>
  <c r="AI479" i="1"/>
  <c r="AF448" i="1"/>
  <c r="AG449" i="1"/>
  <c r="AI489" i="1"/>
  <c r="AJ490" i="1"/>
  <c r="AF498" i="1"/>
  <c r="AG499" i="1"/>
  <c r="AI460" i="1"/>
  <c r="AJ461" i="1"/>
  <c r="AF488" i="1"/>
  <c r="AG489" i="1"/>
  <c r="AF529" i="1"/>
  <c r="AG530" i="1"/>
  <c r="AG470" i="1"/>
  <c r="AF469" i="1"/>
  <c r="AI519" i="1"/>
  <c r="AJ520" i="1"/>
  <c r="AF520" i="1"/>
  <c r="AG521" i="1"/>
  <c r="AI451" i="1"/>
  <c r="AK442" i="1"/>
  <c r="AM442" i="1"/>
  <c r="AF510" i="1"/>
  <c r="AG511" i="1"/>
  <c r="AI530" i="1"/>
  <c r="AJ531" i="1"/>
  <c r="AI511" i="1"/>
  <c r="AK502" i="1"/>
  <c r="AM502" i="1"/>
  <c r="AG460" i="1"/>
  <c r="AF459" i="1"/>
  <c r="AI461" i="1"/>
  <c r="AK452" i="1"/>
  <c r="AM452" i="1"/>
  <c r="AI490" i="1"/>
  <c r="AJ491" i="1"/>
  <c r="AI470" i="1"/>
  <c r="AJ471" i="1"/>
  <c r="AJ481" i="1"/>
  <c r="AI480" i="1"/>
  <c r="AF489" i="1"/>
  <c r="AG490" i="1"/>
  <c r="AF499" i="1"/>
  <c r="AG500" i="1"/>
  <c r="AG450" i="1"/>
  <c r="AF449" i="1"/>
  <c r="AF479" i="1"/>
  <c r="AG480" i="1"/>
  <c r="AI501" i="1"/>
  <c r="AK492" i="1"/>
  <c r="AM492" i="1"/>
  <c r="AF530" i="1"/>
  <c r="AG531" i="1"/>
  <c r="AF470" i="1"/>
  <c r="AG471" i="1"/>
  <c r="AH512" i="1"/>
  <c r="AL512" i="1"/>
  <c r="AF521" i="1"/>
  <c r="AI520" i="1"/>
  <c r="AJ521" i="1"/>
  <c r="AI531" i="1"/>
  <c r="AK522" i="1"/>
  <c r="AM522" i="1"/>
  <c r="AH502" i="1"/>
  <c r="AL502" i="1"/>
  <c r="AN502" i="1"/>
  <c r="AP502" i="1"/>
  <c r="AO502" i="1"/>
  <c r="AF511" i="1"/>
  <c r="AF460" i="1"/>
  <c r="AG461" i="1"/>
  <c r="AF450" i="1"/>
  <c r="AG451" i="1"/>
  <c r="AI471" i="1"/>
  <c r="AK462" i="1"/>
  <c r="AM462" i="1"/>
  <c r="AF480" i="1"/>
  <c r="AG481" i="1"/>
  <c r="AF500" i="1"/>
  <c r="AG501" i="1"/>
  <c r="AK482" i="1"/>
  <c r="AM482" i="1"/>
  <c r="AI491" i="1"/>
  <c r="AF490" i="1"/>
  <c r="AG491" i="1"/>
  <c r="AK472" i="1"/>
  <c r="AM472" i="1"/>
  <c r="AI481" i="1"/>
  <c r="AH522" i="1"/>
  <c r="AL522" i="1"/>
  <c r="AN522" i="1"/>
  <c r="AP522" i="1"/>
  <c r="AO522" i="1"/>
  <c r="AF531" i="1"/>
  <c r="AF471" i="1"/>
  <c r="AH462" i="1"/>
  <c r="AL462" i="1"/>
  <c r="AN462" i="1"/>
  <c r="AP462" i="1"/>
  <c r="AO462" i="1"/>
  <c r="AI521" i="1"/>
  <c r="AK512" i="1"/>
  <c r="AM512" i="1"/>
  <c r="AN512" i="1"/>
  <c r="AP512" i="1"/>
  <c r="AO512" i="1"/>
  <c r="AF461" i="1"/>
  <c r="AH452" i="1"/>
  <c r="AL452" i="1"/>
  <c r="AN452" i="1"/>
  <c r="AP452" i="1"/>
  <c r="AO452" i="1"/>
  <c r="AH492" i="1"/>
  <c r="AL492" i="1"/>
  <c r="AN492" i="1"/>
  <c r="AP492" i="1"/>
  <c r="AO492" i="1"/>
  <c r="AF501" i="1"/>
  <c r="AH472" i="1"/>
  <c r="AL472" i="1"/>
  <c r="AN472" i="1"/>
  <c r="AP472" i="1"/>
  <c r="AO472" i="1"/>
  <c r="AF481" i="1"/>
  <c r="AF451" i="1"/>
  <c r="AH442" i="1"/>
  <c r="AL442" i="1"/>
  <c r="AN442" i="1"/>
  <c r="AP442" i="1"/>
  <c r="AO442" i="1"/>
  <c r="AF491" i="1"/>
  <c r="AH482" i="1"/>
  <c r="AL482" i="1"/>
  <c r="AN482" i="1"/>
  <c r="AP482" i="1"/>
  <c r="AO482" i="1"/>
  <c r="AA441" i="1"/>
  <c r="Y441" i="1"/>
  <c r="X441" i="1"/>
  <c r="AA440" i="1"/>
  <c r="Y440" i="1"/>
  <c r="X440" i="1"/>
  <c r="AA439" i="1"/>
  <c r="Y439" i="1"/>
  <c r="X439" i="1"/>
  <c r="AA438" i="1"/>
  <c r="Y438" i="1"/>
  <c r="X438" i="1"/>
  <c r="AB438" i="1"/>
  <c r="AA437" i="1"/>
  <c r="Y437" i="1"/>
  <c r="X437" i="1"/>
  <c r="AA436" i="1"/>
  <c r="Y436" i="1"/>
  <c r="X436" i="1"/>
  <c r="AA435" i="1"/>
  <c r="Y435" i="1"/>
  <c r="X435" i="1"/>
  <c r="AA434" i="1"/>
  <c r="Y434" i="1"/>
  <c r="X434" i="1"/>
  <c r="AB434" i="1"/>
  <c r="AA433" i="1"/>
  <c r="Y433" i="1"/>
  <c r="X433" i="1"/>
  <c r="AA432" i="1"/>
  <c r="Y432" i="1"/>
  <c r="X432" i="1"/>
  <c r="R432" i="1"/>
  <c r="Q432" i="1"/>
  <c r="O432" i="1"/>
  <c r="N432" i="1"/>
  <c r="AA431" i="1"/>
  <c r="Y431" i="1"/>
  <c r="X431" i="1"/>
  <c r="AA430" i="1"/>
  <c r="Y430" i="1"/>
  <c r="X430" i="1"/>
  <c r="AB430" i="1"/>
  <c r="AA429" i="1"/>
  <c r="Y429" i="1"/>
  <c r="X429" i="1"/>
  <c r="AA428" i="1"/>
  <c r="Y428" i="1"/>
  <c r="X428" i="1"/>
  <c r="AA427" i="1"/>
  <c r="Y427" i="1"/>
  <c r="X427" i="1"/>
  <c r="AA426" i="1"/>
  <c r="Y426" i="1"/>
  <c r="X426" i="1"/>
  <c r="AB426" i="1"/>
  <c r="AA425" i="1"/>
  <c r="Y425" i="1"/>
  <c r="X425" i="1"/>
  <c r="AA424" i="1"/>
  <c r="Y424" i="1"/>
  <c r="X424" i="1"/>
  <c r="AA423" i="1"/>
  <c r="Y423" i="1"/>
  <c r="X423" i="1"/>
  <c r="AA422" i="1"/>
  <c r="Y422" i="1"/>
  <c r="X422" i="1"/>
  <c r="AB422" i="1"/>
  <c r="R422" i="1"/>
  <c r="Q422" i="1"/>
  <c r="O422" i="1"/>
  <c r="S422" i="1"/>
  <c r="N422" i="1"/>
  <c r="T422" i="1"/>
  <c r="AB425" i="1"/>
  <c r="AB429" i="1"/>
  <c r="AB437" i="1"/>
  <c r="AB432" i="1"/>
  <c r="AG432" i="1"/>
  <c r="AF432" i="1"/>
  <c r="AG422" i="1"/>
  <c r="AF422" i="1"/>
  <c r="AJ422" i="1"/>
  <c r="AI422" i="1"/>
  <c r="AB424" i="1"/>
  <c r="AB428" i="1"/>
  <c r="T432" i="1"/>
  <c r="AB423" i="1"/>
  <c r="AB427" i="1"/>
  <c r="AB431" i="1"/>
  <c r="AJ432" i="1"/>
  <c r="AI432" i="1"/>
  <c r="AB441" i="1"/>
  <c r="AB433" i="1"/>
  <c r="AB436" i="1"/>
  <c r="AB440" i="1"/>
  <c r="AB435" i="1"/>
  <c r="AB439" i="1"/>
  <c r="AG423" i="1"/>
  <c r="AF423" i="1"/>
  <c r="AG433" i="1"/>
  <c r="AF433" i="1"/>
  <c r="AJ433" i="1"/>
  <c r="AJ423" i="1"/>
  <c r="AG424" i="1"/>
  <c r="AG434" i="1"/>
  <c r="AI423" i="1"/>
  <c r="AJ424" i="1"/>
  <c r="AI433" i="1"/>
  <c r="AJ434" i="1"/>
  <c r="AF434" i="1"/>
  <c r="AG435" i="1"/>
  <c r="AF424" i="1"/>
  <c r="AG425" i="1"/>
  <c r="AI424" i="1"/>
  <c r="AJ425" i="1"/>
  <c r="AI434" i="1"/>
  <c r="AJ435" i="1"/>
  <c r="AF425" i="1"/>
  <c r="AG426" i="1"/>
  <c r="AF435" i="1"/>
  <c r="AG436" i="1"/>
  <c r="AI435" i="1"/>
  <c r="AJ436" i="1"/>
  <c r="AI425" i="1"/>
  <c r="AJ426" i="1"/>
  <c r="AF436" i="1"/>
  <c r="AG437" i="1"/>
  <c r="AF426" i="1"/>
  <c r="AG427" i="1"/>
  <c r="AI426" i="1"/>
  <c r="AJ427" i="1"/>
  <c r="AI436" i="1"/>
  <c r="AJ437" i="1"/>
  <c r="AF427" i="1"/>
  <c r="AG428" i="1"/>
  <c r="AF437" i="1"/>
  <c r="AG438" i="1"/>
  <c r="AI427" i="1"/>
  <c r="AJ428" i="1"/>
  <c r="AI437" i="1"/>
  <c r="AJ438" i="1"/>
  <c r="AF438" i="1"/>
  <c r="AG439" i="1"/>
  <c r="AF428" i="1"/>
  <c r="AG429" i="1"/>
  <c r="AI428" i="1"/>
  <c r="AJ429" i="1"/>
  <c r="AI438" i="1"/>
  <c r="AJ439" i="1"/>
  <c r="AF439" i="1"/>
  <c r="AG440" i="1"/>
  <c r="AF429" i="1"/>
  <c r="AG430" i="1"/>
  <c r="AI429" i="1"/>
  <c r="AJ430" i="1"/>
  <c r="AJ440" i="1"/>
  <c r="AI439" i="1"/>
  <c r="AF430" i="1"/>
  <c r="AG431" i="1"/>
  <c r="AF440" i="1"/>
  <c r="AG441" i="1"/>
  <c r="AI440" i="1"/>
  <c r="AJ441" i="1"/>
  <c r="AI430" i="1"/>
  <c r="AJ431" i="1"/>
  <c r="AH432" i="1"/>
  <c r="AL432" i="1"/>
  <c r="AF441" i="1"/>
  <c r="AH422" i="1"/>
  <c r="AL422" i="1"/>
  <c r="AF431" i="1"/>
  <c r="AI441" i="1"/>
  <c r="AK432" i="1"/>
  <c r="AM432" i="1"/>
  <c r="AN432" i="1"/>
  <c r="AP432" i="1"/>
  <c r="AO432" i="1"/>
  <c r="AI431" i="1"/>
  <c r="AK422" i="1"/>
  <c r="AM422" i="1"/>
  <c r="AN422" i="1"/>
  <c r="AP422" i="1"/>
  <c r="AO422" i="1"/>
  <c r="AA421" i="1"/>
  <c r="Y421" i="1"/>
  <c r="X421" i="1"/>
  <c r="AA420" i="1"/>
  <c r="Y420" i="1"/>
  <c r="X420" i="1"/>
  <c r="AA419" i="1"/>
  <c r="Y419" i="1"/>
  <c r="X419" i="1"/>
  <c r="AA418" i="1"/>
  <c r="Y418" i="1"/>
  <c r="X418" i="1"/>
  <c r="AB418" i="1"/>
  <c r="AA417" i="1"/>
  <c r="Y417" i="1"/>
  <c r="X417" i="1"/>
  <c r="AA416" i="1"/>
  <c r="Y416" i="1"/>
  <c r="X416" i="1"/>
  <c r="AA415" i="1"/>
  <c r="Y415" i="1"/>
  <c r="X415" i="1"/>
  <c r="AA414" i="1"/>
  <c r="Y414" i="1"/>
  <c r="X414" i="1"/>
  <c r="AB414" i="1"/>
  <c r="AA413" i="1"/>
  <c r="Y413" i="1"/>
  <c r="X413" i="1"/>
  <c r="AA412" i="1"/>
  <c r="AB412" i="1"/>
  <c r="Y412" i="1"/>
  <c r="X412" i="1"/>
  <c r="R412" i="1"/>
  <c r="Q412" i="1"/>
  <c r="O412" i="1"/>
  <c r="N412" i="1"/>
  <c r="AA411" i="1"/>
  <c r="Y411" i="1"/>
  <c r="X411" i="1"/>
  <c r="AA410" i="1"/>
  <c r="Y410" i="1"/>
  <c r="X410" i="1"/>
  <c r="AB410" i="1"/>
  <c r="AA409" i="1"/>
  <c r="Y409" i="1"/>
  <c r="X409" i="1"/>
  <c r="AA408" i="1"/>
  <c r="Y408" i="1"/>
  <c r="X408" i="1"/>
  <c r="AA407" i="1"/>
  <c r="Y407" i="1"/>
  <c r="X407" i="1"/>
  <c r="AA406" i="1"/>
  <c r="Y406" i="1"/>
  <c r="X406" i="1"/>
  <c r="AB406" i="1"/>
  <c r="AA405" i="1"/>
  <c r="Y405" i="1"/>
  <c r="X405" i="1"/>
  <c r="AA404" i="1"/>
  <c r="Y404" i="1"/>
  <c r="X404" i="1"/>
  <c r="AA403" i="1"/>
  <c r="Y403" i="1"/>
  <c r="X403" i="1"/>
  <c r="AA402" i="1"/>
  <c r="Y402" i="1"/>
  <c r="X402" i="1"/>
  <c r="AB402" i="1"/>
  <c r="R402" i="1"/>
  <c r="Q402" i="1"/>
  <c r="O402" i="1"/>
  <c r="N402" i="1"/>
  <c r="T402" i="1"/>
  <c r="AB405" i="1"/>
  <c r="AB409" i="1"/>
  <c r="AB413" i="1"/>
  <c r="S402" i="1"/>
  <c r="AG402" i="1"/>
  <c r="AJ402" i="1"/>
  <c r="AI402" i="1"/>
  <c r="AB404" i="1"/>
  <c r="AB408" i="1"/>
  <c r="T412" i="1"/>
  <c r="AB403" i="1"/>
  <c r="AB407" i="1"/>
  <c r="AB411" i="1"/>
  <c r="AG412" i="1"/>
  <c r="AF412" i="1"/>
  <c r="AJ412" i="1"/>
  <c r="AI412" i="1"/>
  <c r="AB417" i="1"/>
  <c r="AB421" i="1"/>
  <c r="AB416" i="1"/>
  <c r="AB420" i="1"/>
  <c r="AB415" i="1"/>
  <c r="AB419" i="1"/>
  <c r="Y401" i="1"/>
  <c r="Y400" i="1"/>
  <c r="Y399" i="1"/>
  <c r="Y398" i="1"/>
  <c r="Y397" i="1"/>
  <c r="Y396" i="1"/>
  <c r="Y395" i="1"/>
  <c r="Y394" i="1"/>
  <c r="Y393" i="1"/>
  <c r="Y392" i="1"/>
  <c r="R392" i="1"/>
  <c r="O392" i="1"/>
  <c r="X392" i="1"/>
  <c r="AA392" i="1"/>
  <c r="X393" i="1"/>
  <c r="AA393" i="1"/>
  <c r="X394" i="1"/>
  <c r="AA394" i="1"/>
  <c r="X401" i="1"/>
  <c r="AA401" i="1"/>
  <c r="X400" i="1"/>
  <c r="AA400" i="1"/>
  <c r="X399" i="1"/>
  <c r="AA399" i="1"/>
  <c r="X398" i="1"/>
  <c r="AB398" i="1"/>
  <c r="AA398" i="1"/>
  <c r="X397" i="1"/>
  <c r="AA397" i="1"/>
  <c r="X396" i="1"/>
  <c r="AB396" i="1"/>
  <c r="AA396" i="1"/>
  <c r="X395" i="1"/>
  <c r="AA395" i="1"/>
  <c r="N392" i="1"/>
  <c r="Q392" i="1"/>
  <c r="Y391" i="1"/>
  <c r="Y390" i="1"/>
  <c r="Y389" i="1"/>
  <c r="Y388" i="1"/>
  <c r="Y387" i="1"/>
  <c r="Y386" i="1"/>
  <c r="Y385" i="1"/>
  <c r="Y384" i="1"/>
  <c r="Y383" i="1"/>
  <c r="Y382" i="1"/>
  <c r="R382" i="1"/>
  <c r="O382" i="1"/>
  <c r="X382" i="1"/>
  <c r="AA382" i="1"/>
  <c r="X383" i="1"/>
  <c r="AA383" i="1"/>
  <c r="X391" i="1"/>
  <c r="AA391" i="1"/>
  <c r="X390" i="1"/>
  <c r="AA390" i="1"/>
  <c r="X389" i="1"/>
  <c r="AA389" i="1"/>
  <c r="X388" i="1"/>
  <c r="AA388" i="1"/>
  <c r="X387" i="1"/>
  <c r="AA387" i="1"/>
  <c r="AB387" i="1"/>
  <c r="X386" i="1"/>
  <c r="AA386" i="1"/>
  <c r="X385" i="1"/>
  <c r="AA385" i="1"/>
  <c r="X384" i="1"/>
  <c r="AA384" i="1"/>
  <c r="N382" i="1"/>
  <c r="Q382" i="1"/>
  <c r="Y381" i="1"/>
  <c r="Y380" i="1"/>
  <c r="Y379" i="1"/>
  <c r="Y378" i="1"/>
  <c r="Y377" i="1"/>
  <c r="Y376" i="1"/>
  <c r="Y375" i="1"/>
  <c r="Y374" i="1"/>
  <c r="Y373" i="1"/>
  <c r="Y372" i="1"/>
  <c r="R372" i="1"/>
  <c r="O372" i="1"/>
  <c r="X372" i="1"/>
  <c r="AA372" i="1"/>
  <c r="X373" i="1"/>
  <c r="AA373" i="1"/>
  <c r="X374" i="1"/>
  <c r="AA374" i="1"/>
  <c r="X381" i="1"/>
  <c r="AA381" i="1"/>
  <c r="X380" i="1"/>
  <c r="AA380" i="1"/>
  <c r="X379" i="1"/>
  <c r="AA379" i="1"/>
  <c r="X378" i="1"/>
  <c r="AA378" i="1"/>
  <c r="X377" i="1"/>
  <c r="AA377" i="1"/>
  <c r="X376" i="1"/>
  <c r="AA376" i="1"/>
  <c r="AB376" i="1"/>
  <c r="X375" i="1"/>
  <c r="AA375" i="1"/>
  <c r="N372" i="1"/>
  <c r="Q372" i="1"/>
  <c r="Y371" i="1"/>
  <c r="Y370" i="1"/>
  <c r="Y369" i="1"/>
  <c r="Y368" i="1"/>
  <c r="Y367" i="1"/>
  <c r="Y366" i="1"/>
  <c r="Y365" i="1"/>
  <c r="Y364" i="1"/>
  <c r="Y363" i="1"/>
  <c r="Y362" i="1"/>
  <c r="R362" i="1"/>
  <c r="O362" i="1"/>
  <c r="X362" i="1"/>
  <c r="AA362" i="1"/>
  <c r="X363" i="1"/>
  <c r="AA363" i="1"/>
  <c r="X364" i="1"/>
  <c r="AA364" i="1"/>
  <c r="X371" i="1"/>
  <c r="AA371" i="1"/>
  <c r="X370" i="1"/>
  <c r="AB370" i="1"/>
  <c r="AA370" i="1"/>
  <c r="X369" i="1"/>
  <c r="AA369" i="1"/>
  <c r="X368" i="1"/>
  <c r="AA368" i="1"/>
  <c r="X367" i="1"/>
  <c r="AA367" i="1"/>
  <c r="X366" i="1"/>
  <c r="AB366" i="1"/>
  <c r="AA366" i="1"/>
  <c r="X365" i="1"/>
  <c r="AA365" i="1"/>
  <c r="N362" i="1"/>
  <c r="Q362" i="1"/>
  <c r="Y361" i="1"/>
  <c r="Y360" i="1"/>
  <c r="Y359" i="1"/>
  <c r="Y358" i="1"/>
  <c r="Y357" i="1"/>
  <c r="Y356" i="1"/>
  <c r="Y355" i="1"/>
  <c r="Y354" i="1"/>
  <c r="Y353" i="1"/>
  <c r="Y352" i="1"/>
  <c r="R352" i="1"/>
  <c r="O352" i="1"/>
  <c r="X352" i="1"/>
  <c r="AA352" i="1"/>
  <c r="X353" i="1"/>
  <c r="AA353" i="1"/>
  <c r="X354" i="1"/>
  <c r="AA354" i="1"/>
  <c r="X361" i="1"/>
  <c r="AA361" i="1"/>
  <c r="X360" i="1"/>
  <c r="AA360" i="1"/>
  <c r="X359" i="1"/>
  <c r="AA359" i="1"/>
  <c r="X358" i="1"/>
  <c r="AA358" i="1"/>
  <c r="X357" i="1"/>
  <c r="AA357" i="1"/>
  <c r="X356" i="1"/>
  <c r="AA356" i="1"/>
  <c r="X355" i="1"/>
  <c r="AA355" i="1"/>
  <c r="N352" i="1"/>
  <c r="Y351" i="1"/>
  <c r="Y350" i="1"/>
  <c r="Y349" i="1"/>
  <c r="Y348" i="1"/>
  <c r="Y347" i="1"/>
  <c r="Y346" i="1"/>
  <c r="Y345" i="1"/>
  <c r="Y344" i="1"/>
  <c r="Y343" i="1"/>
  <c r="Y342" i="1"/>
  <c r="R342" i="1"/>
  <c r="O342" i="1"/>
  <c r="X342" i="1"/>
  <c r="AB342" i="1"/>
  <c r="AA342" i="1"/>
  <c r="X343" i="1"/>
  <c r="AA343" i="1"/>
  <c r="X351" i="1"/>
  <c r="AA351" i="1"/>
  <c r="X350" i="1"/>
  <c r="AA350" i="1"/>
  <c r="X349" i="1"/>
  <c r="AB349" i="1"/>
  <c r="AA349" i="1"/>
  <c r="X348" i="1"/>
  <c r="AA348" i="1"/>
  <c r="X347" i="1"/>
  <c r="AB347" i="1"/>
  <c r="AA347" i="1"/>
  <c r="X346" i="1"/>
  <c r="AA346" i="1"/>
  <c r="X345" i="1"/>
  <c r="AA345" i="1"/>
  <c r="X344" i="1"/>
  <c r="AA344" i="1"/>
  <c r="N342" i="1"/>
  <c r="Y341" i="1"/>
  <c r="Y340" i="1"/>
  <c r="Y339" i="1"/>
  <c r="Y338" i="1"/>
  <c r="Y337" i="1"/>
  <c r="Y336" i="1"/>
  <c r="Y335" i="1"/>
  <c r="Y334" i="1"/>
  <c r="Y333" i="1"/>
  <c r="Y332" i="1"/>
  <c r="R332" i="1"/>
  <c r="O332" i="1"/>
  <c r="X332" i="1"/>
  <c r="AA332" i="1"/>
  <c r="X341" i="1"/>
  <c r="AA341" i="1"/>
  <c r="X340" i="1"/>
  <c r="AA340" i="1"/>
  <c r="X339" i="1"/>
  <c r="AA339" i="1"/>
  <c r="X338" i="1"/>
  <c r="AA338" i="1"/>
  <c r="X337" i="1"/>
  <c r="AA337" i="1"/>
  <c r="X336" i="1"/>
  <c r="AA336" i="1"/>
  <c r="X335" i="1"/>
  <c r="AA335" i="1"/>
  <c r="X334" i="1"/>
  <c r="AA334" i="1"/>
  <c r="X333" i="1"/>
  <c r="AA333" i="1"/>
  <c r="N332" i="1"/>
  <c r="Y331" i="1"/>
  <c r="Y330" i="1"/>
  <c r="Y329" i="1"/>
  <c r="Y328" i="1"/>
  <c r="Y327" i="1"/>
  <c r="Y326" i="1"/>
  <c r="Y325" i="1"/>
  <c r="Y324" i="1"/>
  <c r="Y323" i="1"/>
  <c r="Y322" i="1"/>
  <c r="R322" i="1"/>
  <c r="O322" i="1"/>
  <c r="X322" i="1"/>
  <c r="AA322" i="1"/>
  <c r="X323" i="1"/>
  <c r="AA323" i="1"/>
  <c r="X324" i="1"/>
  <c r="AA324" i="1"/>
  <c r="X325" i="1"/>
  <c r="AA325" i="1"/>
  <c r="X331" i="1"/>
  <c r="AA331" i="1"/>
  <c r="X330" i="1"/>
  <c r="AA330" i="1"/>
  <c r="X329" i="1"/>
  <c r="AA329" i="1"/>
  <c r="X328" i="1"/>
  <c r="AA328" i="1"/>
  <c r="X327" i="1"/>
  <c r="AA327" i="1"/>
  <c r="X326" i="1"/>
  <c r="AA326" i="1"/>
  <c r="N322" i="1"/>
  <c r="Y321" i="1"/>
  <c r="Y320" i="1"/>
  <c r="Y319" i="1"/>
  <c r="Y318" i="1"/>
  <c r="R312" i="1"/>
  <c r="O312" i="1"/>
  <c r="X321" i="1"/>
  <c r="AA321" i="1"/>
  <c r="X320" i="1"/>
  <c r="AA320" i="1"/>
  <c r="X319" i="1"/>
  <c r="AA319" i="1"/>
  <c r="X318" i="1"/>
  <c r="AA318" i="1"/>
  <c r="N312" i="1"/>
  <c r="Q312" i="1"/>
  <c r="Y311" i="1"/>
  <c r="Y310" i="1"/>
  <c r="Y309" i="1"/>
  <c r="Y308" i="1"/>
  <c r="Y307" i="1"/>
  <c r="Y306" i="1"/>
  <c r="Y305" i="1"/>
  <c r="Y304" i="1"/>
  <c r="Y303" i="1"/>
  <c r="Y302" i="1"/>
  <c r="R302" i="1"/>
  <c r="O302" i="1"/>
  <c r="X302" i="1"/>
  <c r="AA302" i="1"/>
  <c r="X311" i="1"/>
  <c r="AA311" i="1"/>
  <c r="X310" i="1"/>
  <c r="AA310" i="1"/>
  <c r="X309" i="1"/>
  <c r="AA309" i="1"/>
  <c r="X308" i="1"/>
  <c r="AA308" i="1"/>
  <c r="X307" i="1"/>
  <c r="AA307" i="1"/>
  <c r="X306" i="1"/>
  <c r="AA306" i="1"/>
  <c r="X305" i="1"/>
  <c r="AA305" i="1"/>
  <c r="X304" i="1"/>
  <c r="AA304" i="1"/>
  <c r="X303" i="1"/>
  <c r="AA303" i="1"/>
  <c r="N302" i="1"/>
  <c r="S302" i="1"/>
  <c r="Q302" i="1"/>
  <c r="Y301" i="1"/>
  <c r="Y300" i="1"/>
  <c r="Y299" i="1"/>
  <c r="Y298" i="1"/>
  <c r="Y297" i="1"/>
  <c r="Y296" i="1"/>
  <c r="Y295" i="1"/>
  <c r="Y294" i="1"/>
  <c r="Y293" i="1"/>
  <c r="Y292" i="1"/>
  <c r="R292" i="1"/>
  <c r="O292" i="1"/>
  <c r="X292" i="1"/>
  <c r="AA292" i="1"/>
  <c r="X293" i="1"/>
  <c r="AA293" i="1"/>
  <c r="X294" i="1"/>
  <c r="AA294" i="1"/>
  <c r="X295" i="1"/>
  <c r="AA295" i="1"/>
  <c r="X296" i="1"/>
  <c r="AA296" i="1"/>
  <c r="X301" i="1"/>
  <c r="AA301" i="1"/>
  <c r="X300" i="1"/>
  <c r="AA300" i="1"/>
  <c r="X299" i="1"/>
  <c r="AA299" i="1"/>
  <c r="X298" i="1"/>
  <c r="AA298" i="1"/>
  <c r="X297" i="1"/>
  <c r="AA297" i="1"/>
  <c r="N292" i="1"/>
  <c r="Q292" i="1"/>
  <c r="Y291" i="1"/>
  <c r="Y290" i="1"/>
  <c r="Y289" i="1"/>
  <c r="Y288" i="1"/>
  <c r="Y287" i="1"/>
  <c r="Y286" i="1"/>
  <c r="Y285" i="1"/>
  <c r="Y284" i="1"/>
  <c r="Y283" i="1"/>
  <c r="Y282" i="1"/>
  <c r="R282" i="1"/>
  <c r="X284" i="1"/>
  <c r="AA284" i="1"/>
  <c r="O282" i="1"/>
  <c r="X282" i="1"/>
  <c r="AA282" i="1"/>
  <c r="X283" i="1"/>
  <c r="AA283" i="1"/>
  <c r="X291" i="1"/>
  <c r="AA291" i="1"/>
  <c r="X290" i="1"/>
  <c r="AA290" i="1"/>
  <c r="X289" i="1"/>
  <c r="AA289" i="1"/>
  <c r="X288" i="1"/>
  <c r="AA288" i="1"/>
  <c r="X287" i="1"/>
  <c r="AA287" i="1"/>
  <c r="X286" i="1"/>
  <c r="AA286" i="1"/>
  <c r="X285" i="1"/>
  <c r="AA285" i="1"/>
  <c r="N282" i="1"/>
  <c r="Q282" i="1"/>
  <c r="Y281" i="1"/>
  <c r="Y280" i="1"/>
  <c r="Y279" i="1"/>
  <c r="Y278" i="1"/>
  <c r="Y277" i="1"/>
  <c r="Y276" i="1"/>
  <c r="Y275" i="1"/>
  <c r="Y274" i="1"/>
  <c r="Y273" i="1"/>
  <c r="Y272" i="1"/>
  <c r="R272" i="1"/>
  <c r="X274" i="1"/>
  <c r="AA274" i="1"/>
  <c r="X275" i="1"/>
  <c r="AA275" i="1"/>
  <c r="O272" i="1"/>
  <c r="X272" i="1"/>
  <c r="AA272" i="1"/>
  <c r="X273" i="1"/>
  <c r="AA273" i="1"/>
  <c r="X276" i="1"/>
  <c r="AA276" i="1"/>
  <c r="X281" i="1"/>
  <c r="AA281" i="1"/>
  <c r="X280" i="1"/>
  <c r="AA280" i="1"/>
  <c r="AB280" i="1"/>
  <c r="X279" i="1"/>
  <c r="AA279" i="1"/>
  <c r="X278" i="1"/>
  <c r="AA278" i="1"/>
  <c r="X277" i="1"/>
  <c r="AA277" i="1"/>
  <c r="N272" i="1"/>
  <c r="Q272" i="1"/>
  <c r="Y271" i="1"/>
  <c r="Y270" i="1"/>
  <c r="Y269" i="1"/>
  <c r="Y268" i="1"/>
  <c r="Y267" i="1"/>
  <c r="Y266" i="1"/>
  <c r="Y265" i="1"/>
  <c r="Y264" i="1"/>
  <c r="Y263" i="1"/>
  <c r="Y262" i="1"/>
  <c r="R262" i="1"/>
  <c r="O262" i="1"/>
  <c r="X262" i="1"/>
  <c r="AA262" i="1"/>
  <c r="X263" i="1"/>
  <c r="AA263" i="1"/>
  <c r="X271" i="1"/>
  <c r="AA271" i="1"/>
  <c r="X270" i="1"/>
  <c r="AA270" i="1"/>
  <c r="AB270" i="1"/>
  <c r="X269" i="1"/>
  <c r="AA269" i="1"/>
  <c r="X268" i="1"/>
  <c r="AA268" i="1"/>
  <c r="X267" i="1"/>
  <c r="AA267" i="1"/>
  <c r="X266" i="1"/>
  <c r="AA266" i="1"/>
  <c r="X265" i="1"/>
  <c r="AA265" i="1"/>
  <c r="X264" i="1"/>
  <c r="AA264" i="1"/>
  <c r="N262" i="1"/>
  <c r="Q262" i="1"/>
  <c r="Y261" i="1"/>
  <c r="Y260" i="1"/>
  <c r="Y259" i="1"/>
  <c r="Y258" i="1"/>
  <c r="Y257" i="1"/>
  <c r="Y256" i="1"/>
  <c r="Y255" i="1"/>
  <c r="Y254" i="1"/>
  <c r="Y253" i="1"/>
  <c r="Y252" i="1"/>
  <c r="R252" i="1"/>
  <c r="O252" i="1"/>
  <c r="X252" i="1"/>
  <c r="AA252" i="1"/>
  <c r="X253" i="1"/>
  <c r="AA253" i="1"/>
  <c r="X254" i="1"/>
  <c r="AA254" i="1"/>
  <c r="X261" i="1"/>
  <c r="AA261" i="1"/>
  <c r="X260" i="1"/>
  <c r="AA260" i="1"/>
  <c r="X259" i="1"/>
  <c r="AA259" i="1"/>
  <c r="X258" i="1"/>
  <c r="AA258" i="1"/>
  <c r="X257" i="1"/>
  <c r="AA257" i="1"/>
  <c r="X256" i="1"/>
  <c r="AA256" i="1"/>
  <c r="X255" i="1"/>
  <c r="AA255" i="1"/>
  <c r="N252" i="1"/>
  <c r="Q252" i="1"/>
  <c r="Y251" i="1"/>
  <c r="Y250" i="1"/>
  <c r="Y249" i="1"/>
  <c r="Y248" i="1"/>
  <c r="Y247" i="1"/>
  <c r="Y246" i="1"/>
  <c r="Y245" i="1"/>
  <c r="Y244" i="1"/>
  <c r="Y243" i="1"/>
  <c r="Y242" i="1"/>
  <c r="R242" i="1"/>
  <c r="O242" i="1"/>
  <c r="X242" i="1"/>
  <c r="AA242" i="1"/>
  <c r="X243" i="1"/>
  <c r="AA243" i="1"/>
  <c r="X244" i="1"/>
  <c r="AA244" i="1"/>
  <c r="X251" i="1"/>
  <c r="AA251" i="1"/>
  <c r="X250" i="1"/>
  <c r="AA250" i="1"/>
  <c r="X249" i="1"/>
  <c r="AA249" i="1"/>
  <c r="X248" i="1"/>
  <c r="AA248" i="1"/>
  <c r="X247" i="1"/>
  <c r="AA247" i="1"/>
  <c r="X246" i="1"/>
  <c r="AA246" i="1"/>
  <c r="X245" i="1"/>
  <c r="AA245" i="1"/>
  <c r="N242" i="1"/>
  <c r="Q242" i="1"/>
  <c r="Y241" i="1"/>
  <c r="Y240" i="1"/>
  <c r="Y239" i="1"/>
  <c r="Y238" i="1"/>
  <c r="Y237" i="1"/>
  <c r="Y236" i="1"/>
  <c r="Y235" i="1"/>
  <c r="Y234" i="1"/>
  <c r="Y233" i="1"/>
  <c r="Y232" i="1"/>
  <c r="R232" i="1"/>
  <c r="X233" i="1"/>
  <c r="AA233" i="1"/>
  <c r="X238" i="1"/>
  <c r="AA238" i="1"/>
  <c r="O232" i="1"/>
  <c r="X232" i="1"/>
  <c r="AA232" i="1"/>
  <c r="X234" i="1"/>
  <c r="AA234" i="1"/>
  <c r="X235" i="1"/>
  <c r="AA235" i="1"/>
  <c r="X236" i="1"/>
  <c r="AA236" i="1"/>
  <c r="X237" i="1"/>
  <c r="AA237" i="1"/>
  <c r="X239" i="1"/>
  <c r="AA239" i="1"/>
  <c r="X241" i="1"/>
  <c r="AA241" i="1"/>
  <c r="X240" i="1"/>
  <c r="AA240" i="1"/>
  <c r="N232" i="1"/>
  <c r="Q232" i="1"/>
  <c r="Y231" i="1"/>
  <c r="Y230" i="1"/>
  <c r="Y229" i="1"/>
  <c r="Y228" i="1"/>
  <c r="Y227" i="1"/>
  <c r="Y226" i="1"/>
  <c r="Y225" i="1"/>
  <c r="Y224" i="1"/>
  <c r="Y223" i="1"/>
  <c r="Y222" i="1"/>
  <c r="R222" i="1"/>
  <c r="O222" i="1"/>
  <c r="X222" i="1"/>
  <c r="AA222" i="1"/>
  <c r="X223" i="1"/>
  <c r="AA223" i="1"/>
  <c r="X224" i="1"/>
  <c r="AA224" i="1"/>
  <c r="X231" i="1"/>
  <c r="AA231" i="1"/>
  <c r="X230" i="1"/>
  <c r="AA230" i="1"/>
  <c r="X229" i="1"/>
  <c r="AA229" i="1"/>
  <c r="X228" i="1"/>
  <c r="AA228" i="1"/>
  <c r="X227" i="1"/>
  <c r="AA227" i="1"/>
  <c r="X226" i="1"/>
  <c r="AA226" i="1"/>
  <c r="X225" i="1"/>
  <c r="AA225" i="1"/>
  <c r="N222" i="1"/>
  <c r="Q222" i="1"/>
  <c r="Y221" i="1"/>
  <c r="Y220" i="1"/>
  <c r="Y219" i="1"/>
  <c r="Y218" i="1"/>
  <c r="Y217" i="1"/>
  <c r="Y216" i="1"/>
  <c r="Y215" i="1"/>
  <c r="Y214" i="1"/>
  <c r="Y213" i="1"/>
  <c r="Y212" i="1"/>
  <c r="R212" i="1"/>
  <c r="X215" i="1"/>
  <c r="AA215" i="1"/>
  <c r="O212" i="1"/>
  <c r="X212" i="1"/>
  <c r="AA212" i="1"/>
  <c r="X213" i="1"/>
  <c r="AA213" i="1"/>
  <c r="X214" i="1"/>
  <c r="AA214" i="1"/>
  <c r="X221" i="1"/>
  <c r="AA221" i="1"/>
  <c r="X220" i="1"/>
  <c r="AA220" i="1"/>
  <c r="X219" i="1"/>
  <c r="AA219" i="1"/>
  <c r="X218" i="1"/>
  <c r="AA218" i="1"/>
  <c r="X217" i="1"/>
  <c r="AA217" i="1"/>
  <c r="X216" i="1"/>
  <c r="AA216" i="1"/>
  <c r="N212" i="1"/>
  <c r="Q212" i="1"/>
  <c r="Y211" i="1"/>
  <c r="Y210" i="1"/>
  <c r="Y209" i="1"/>
  <c r="Y208" i="1"/>
  <c r="Y207" i="1"/>
  <c r="Y206" i="1"/>
  <c r="Y205" i="1"/>
  <c r="Y204" i="1"/>
  <c r="Y203" i="1"/>
  <c r="Y202" i="1"/>
  <c r="R202" i="1"/>
  <c r="O202" i="1"/>
  <c r="X202" i="1"/>
  <c r="AA202" i="1"/>
  <c r="X203" i="1"/>
  <c r="AA203" i="1"/>
  <c r="X211" i="1"/>
  <c r="AA211" i="1"/>
  <c r="X210" i="1"/>
  <c r="AA210" i="1"/>
  <c r="X209" i="1"/>
  <c r="AA209" i="1"/>
  <c r="X208" i="1"/>
  <c r="AA208" i="1"/>
  <c r="X207" i="1"/>
  <c r="AA207" i="1"/>
  <c r="X206" i="1"/>
  <c r="AA206" i="1"/>
  <c r="X205" i="1"/>
  <c r="AA205" i="1"/>
  <c r="X204" i="1"/>
  <c r="AA204" i="1"/>
  <c r="N202" i="1"/>
  <c r="Q202" i="1"/>
  <c r="Y201" i="1"/>
  <c r="Y200" i="1"/>
  <c r="Y199" i="1"/>
  <c r="Y198" i="1"/>
  <c r="Y197" i="1"/>
  <c r="Y196" i="1"/>
  <c r="Y195" i="1"/>
  <c r="Y194" i="1"/>
  <c r="Y193" i="1"/>
  <c r="Y192" i="1"/>
  <c r="R192" i="1"/>
  <c r="O192" i="1"/>
  <c r="X192" i="1"/>
  <c r="AA192" i="1"/>
  <c r="AB192" i="1"/>
  <c r="X193" i="1"/>
  <c r="AA193" i="1"/>
  <c r="X201" i="1"/>
  <c r="AA201" i="1"/>
  <c r="X200" i="1"/>
  <c r="AA200" i="1"/>
  <c r="X199" i="1"/>
  <c r="AA199" i="1"/>
  <c r="X198" i="1"/>
  <c r="AA198" i="1"/>
  <c r="X197" i="1"/>
  <c r="AA197" i="1"/>
  <c r="X196" i="1"/>
  <c r="AA196" i="1"/>
  <c r="X195" i="1"/>
  <c r="AA195" i="1"/>
  <c r="X194" i="1"/>
  <c r="AA194" i="1"/>
  <c r="AB194" i="1"/>
  <c r="N192" i="1"/>
  <c r="Q192" i="1"/>
  <c r="Y191" i="1"/>
  <c r="Y190" i="1"/>
  <c r="Y189" i="1"/>
  <c r="Y188" i="1"/>
  <c r="Y187" i="1"/>
  <c r="Y186" i="1"/>
  <c r="Y185" i="1"/>
  <c r="R182" i="1"/>
  <c r="O182" i="1"/>
  <c r="X191" i="1"/>
  <c r="AA191" i="1"/>
  <c r="X190" i="1"/>
  <c r="AA190" i="1"/>
  <c r="X189" i="1"/>
  <c r="AA189" i="1"/>
  <c r="X188" i="1"/>
  <c r="AA188" i="1"/>
  <c r="X187" i="1"/>
  <c r="AA187" i="1"/>
  <c r="X186" i="1"/>
  <c r="AA186" i="1"/>
  <c r="X185" i="1"/>
  <c r="AA185" i="1"/>
  <c r="N182" i="1"/>
  <c r="Q182" i="1"/>
  <c r="Y181" i="1"/>
  <c r="Y180" i="1"/>
  <c r="Y179" i="1"/>
  <c r="Y178" i="1"/>
  <c r="Y177" i="1"/>
  <c r="Y176" i="1"/>
  <c r="Y175" i="1"/>
  <c r="Y174" i="1"/>
  <c r="Y173" i="1"/>
  <c r="Y172" i="1"/>
  <c r="R172" i="1"/>
  <c r="O172" i="1"/>
  <c r="X172" i="1"/>
  <c r="AA172" i="1"/>
  <c r="X181" i="1"/>
  <c r="AA181" i="1"/>
  <c r="X180" i="1"/>
  <c r="AA180" i="1"/>
  <c r="X179" i="1"/>
  <c r="AA179" i="1"/>
  <c r="X178" i="1"/>
  <c r="AA178" i="1"/>
  <c r="X177" i="1"/>
  <c r="AA177" i="1"/>
  <c r="X176" i="1"/>
  <c r="AA176" i="1"/>
  <c r="X175" i="1"/>
  <c r="AA175" i="1"/>
  <c r="X174" i="1"/>
  <c r="AA174" i="1"/>
  <c r="X173" i="1"/>
  <c r="AA173" i="1"/>
  <c r="N172" i="1"/>
  <c r="Q172" i="1"/>
  <c r="Y171" i="1"/>
  <c r="Y170" i="1"/>
  <c r="Y169" i="1"/>
  <c r="Y168" i="1"/>
  <c r="Y167" i="1"/>
  <c r="Y166" i="1"/>
  <c r="Y165" i="1"/>
  <c r="Y164" i="1"/>
  <c r="Y163" i="1"/>
  <c r="Y162" i="1"/>
  <c r="R162" i="1"/>
  <c r="O162" i="1"/>
  <c r="X162" i="1"/>
  <c r="AA162" i="1"/>
  <c r="X163" i="1"/>
  <c r="AA163" i="1"/>
  <c r="X171" i="1"/>
  <c r="AA171" i="1"/>
  <c r="X170" i="1"/>
  <c r="AA170" i="1"/>
  <c r="X169" i="1"/>
  <c r="AA169" i="1"/>
  <c r="X168" i="1"/>
  <c r="AA168" i="1"/>
  <c r="X167" i="1"/>
  <c r="AA167" i="1"/>
  <c r="X166" i="1"/>
  <c r="AA166" i="1"/>
  <c r="X165" i="1"/>
  <c r="AA165" i="1"/>
  <c r="X164" i="1"/>
  <c r="AA164" i="1"/>
  <c r="N162" i="1"/>
  <c r="Q162" i="1"/>
  <c r="Y161" i="1"/>
  <c r="Y160" i="1"/>
  <c r="Y159" i="1"/>
  <c r="Y158" i="1"/>
  <c r="Y157" i="1"/>
  <c r="Y156" i="1"/>
  <c r="Y155" i="1"/>
  <c r="Y154" i="1"/>
  <c r="Y153" i="1"/>
  <c r="Y152" i="1"/>
  <c r="R152" i="1"/>
  <c r="X152" i="1"/>
  <c r="AA152" i="1"/>
  <c r="O152" i="1"/>
  <c r="X153" i="1"/>
  <c r="AA153" i="1"/>
  <c r="X154" i="1"/>
  <c r="AA154" i="1"/>
  <c r="X155" i="1"/>
  <c r="AA155" i="1"/>
  <c r="X161" i="1"/>
  <c r="AA161" i="1"/>
  <c r="X160" i="1"/>
  <c r="AA160" i="1"/>
  <c r="X159" i="1"/>
  <c r="AA159" i="1"/>
  <c r="X158" i="1"/>
  <c r="AA158" i="1"/>
  <c r="X157" i="1"/>
  <c r="AA157" i="1"/>
  <c r="X156" i="1"/>
  <c r="AA156" i="1"/>
  <c r="N152" i="1"/>
  <c r="Q152" i="1"/>
  <c r="Y151" i="1"/>
  <c r="Y150" i="1"/>
  <c r="Y149" i="1"/>
  <c r="Y148" i="1"/>
  <c r="Y147" i="1"/>
  <c r="Y146" i="1"/>
  <c r="Y145" i="1"/>
  <c r="Y144" i="1"/>
  <c r="Y143" i="1"/>
  <c r="Y142" i="1"/>
  <c r="R142" i="1"/>
  <c r="O142" i="1"/>
  <c r="X142" i="1"/>
  <c r="AA142" i="1"/>
  <c r="X143" i="1"/>
  <c r="AA143" i="1"/>
  <c r="X144" i="1"/>
  <c r="AA144" i="1"/>
  <c r="X151" i="1"/>
  <c r="AA151" i="1"/>
  <c r="X150" i="1"/>
  <c r="AA150" i="1"/>
  <c r="X149" i="1"/>
  <c r="AA149" i="1"/>
  <c r="X148" i="1"/>
  <c r="AA148" i="1"/>
  <c r="X147" i="1"/>
  <c r="AA147" i="1"/>
  <c r="X146" i="1"/>
  <c r="AA146" i="1"/>
  <c r="X145" i="1"/>
  <c r="AA145" i="1"/>
  <c r="N142" i="1"/>
  <c r="Q142" i="1"/>
  <c r="Y141" i="1"/>
  <c r="Y140" i="1"/>
  <c r="Y139" i="1"/>
  <c r="Y138" i="1"/>
  <c r="Y137" i="1"/>
  <c r="Y136" i="1"/>
  <c r="Y135" i="1"/>
  <c r="Y134" i="1"/>
  <c r="Y133" i="1"/>
  <c r="Y132" i="1"/>
  <c r="R132" i="1"/>
  <c r="O132" i="1"/>
  <c r="X132" i="1"/>
  <c r="AA132" i="1"/>
  <c r="X141" i="1"/>
  <c r="AA141" i="1"/>
  <c r="X140" i="1"/>
  <c r="AA140" i="1"/>
  <c r="X139" i="1"/>
  <c r="AA139" i="1"/>
  <c r="X138" i="1"/>
  <c r="AA138" i="1"/>
  <c r="X137" i="1"/>
  <c r="AA137" i="1"/>
  <c r="X136" i="1"/>
  <c r="AA136" i="1"/>
  <c r="X135" i="1"/>
  <c r="AA135" i="1"/>
  <c r="X134" i="1"/>
  <c r="AA134" i="1"/>
  <c r="X133" i="1"/>
  <c r="AA133" i="1"/>
  <c r="N132" i="1"/>
  <c r="Q132" i="1"/>
  <c r="Y131" i="1"/>
  <c r="Y130" i="1"/>
  <c r="Y129" i="1"/>
  <c r="Y128" i="1"/>
  <c r="Y127" i="1"/>
  <c r="Y126" i="1"/>
  <c r="Y125" i="1"/>
  <c r="Y124" i="1"/>
  <c r="Y123" i="1"/>
  <c r="Y122" i="1"/>
  <c r="R122" i="1"/>
  <c r="O122" i="1"/>
  <c r="X122" i="1"/>
  <c r="AA122" i="1"/>
  <c r="X123" i="1"/>
  <c r="AA123" i="1"/>
  <c r="X124" i="1"/>
  <c r="AA124" i="1"/>
  <c r="X125" i="1"/>
  <c r="AA125" i="1"/>
  <c r="X126" i="1"/>
  <c r="AA126" i="1"/>
  <c r="X131" i="1"/>
  <c r="AA131" i="1"/>
  <c r="X130" i="1"/>
  <c r="AA130" i="1"/>
  <c r="X129" i="1"/>
  <c r="AA129" i="1"/>
  <c r="X128" i="1"/>
  <c r="AA128" i="1"/>
  <c r="X127" i="1"/>
  <c r="AA127" i="1"/>
  <c r="N122" i="1"/>
  <c r="Q122" i="1"/>
  <c r="Y121" i="1"/>
  <c r="Y120" i="1"/>
  <c r="Y119" i="1"/>
  <c r="Y118" i="1"/>
  <c r="Y117" i="1"/>
  <c r="Y116" i="1"/>
  <c r="Y115" i="1"/>
  <c r="Y114" i="1"/>
  <c r="Y113" i="1"/>
  <c r="Y112" i="1"/>
  <c r="R112" i="1"/>
  <c r="O112" i="1"/>
  <c r="X112" i="1"/>
  <c r="AA112" i="1"/>
  <c r="X121" i="1"/>
  <c r="AA121" i="1"/>
  <c r="X120" i="1"/>
  <c r="AA120" i="1"/>
  <c r="X119" i="1"/>
  <c r="AA119" i="1"/>
  <c r="X118" i="1"/>
  <c r="AA118" i="1"/>
  <c r="X117" i="1"/>
  <c r="AA117" i="1"/>
  <c r="X116" i="1"/>
  <c r="AA116" i="1"/>
  <c r="X115" i="1"/>
  <c r="AA115" i="1"/>
  <c r="X114" i="1"/>
  <c r="AA114" i="1"/>
  <c r="X113" i="1"/>
  <c r="AA113" i="1"/>
  <c r="N112" i="1"/>
  <c r="Q112" i="1"/>
  <c r="Y111" i="1"/>
  <c r="Y110" i="1"/>
  <c r="Y109" i="1"/>
  <c r="Y108" i="1"/>
  <c r="Y107" i="1"/>
  <c r="Y106" i="1"/>
  <c r="Y105" i="1"/>
  <c r="Y104" i="1"/>
  <c r="Y103" i="1"/>
  <c r="Y102" i="1"/>
  <c r="R102" i="1"/>
  <c r="O102" i="1"/>
  <c r="X102" i="1"/>
  <c r="AA102" i="1"/>
  <c r="X111" i="1"/>
  <c r="AA111" i="1"/>
  <c r="X110" i="1"/>
  <c r="AA110" i="1"/>
  <c r="X109" i="1"/>
  <c r="AA109" i="1"/>
  <c r="X108" i="1"/>
  <c r="AA108" i="1"/>
  <c r="X107" i="1"/>
  <c r="AA107" i="1"/>
  <c r="X106" i="1"/>
  <c r="AA106" i="1"/>
  <c r="X105" i="1"/>
  <c r="AA105" i="1"/>
  <c r="X104" i="1"/>
  <c r="AA104" i="1"/>
  <c r="X103" i="1"/>
  <c r="AA103" i="1"/>
  <c r="N102" i="1"/>
  <c r="Q102" i="1"/>
  <c r="Y101" i="1"/>
  <c r="Y100" i="1"/>
  <c r="Y99" i="1"/>
  <c r="Y98" i="1"/>
  <c r="Y97" i="1"/>
  <c r="Y96" i="1"/>
  <c r="Y95" i="1"/>
  <c r="Y94" i="1"/>
  <c r="Y93" i="1"/>
  <c r="Y92" i="1"/>
  <c r="R92" i="1"/>
  <c r="O92" i="1"/>
  <c r="X92" i="1"/>
  <c r="AA92" i="1"/>
  <c r="X101" i="1"/>
  <c r="AA101" i="1"/>
  <c r="X100" i="1"/>
  <c r="AA100" i="1"/>
  <c r="X99" i="1"/>
  <c r="AA99" i="1"/>
  <c r="X98" i="1"/>
  <c r="AA98" i="1"/>
  <c r="X97" i="1"/>
  <c r="AA97" i="1"/>
  <c r="X96" i="1"/>
  <c r="AA96" i="1"/>
  <c r="X95" i="1"/>
  <c r="AA95" i="1"/>
  <c r="X94" i="1"/>
  <c r="AA94" i="1"/>
  <c r="X93" i="1"/>
  <c r="AA93" i="1"/>
  <c r="N92" i="1"/>
  <c r="Q92" i="1"/>
  <c r="Y91" i="1"/>
  <c r="Y90" i="1"/>
  <c r="Y89" i="1"/>
  <c r="Y88" i="1"/>
  <c r="Y87" i="1"/>
  <c r="Y86" i="1"/>
  <c r="Y85" i="1"/>
  <c r="Y84" i="1"/>
  <c r="Y83" i="1"/>
  <c r="Y82" i="1"/>
  <c r="R82" i="1"/>
  <c r="O82" i="1"/>
  <c r="X82" i="1"/>
  <c r="AA82" i="1"/>
  <c r="X83" i="1"/>
  <c r="AA83" i="1"/>
  <c r="X91" i="1"/>
  <c r="AA91" i="1"/>
  <c r="X90" i="1"/>
  <c r="AB90" i="1"/>
  <c r="AA90" i="1"/>
  <c r="X89" i="1"/>
  <c r="AA89" i="1"/>
  <c r="X88" i="1"/>
  <c r="AA88" i="1"/>
  <c r="X87" i="1"/>
  <c r="AA87" i="1"/>
  <c r="X86" i="1"/>
  <c r="AA86" i="1"/>
  <c r="X85" i="1"/>
  <c r="AA85" i="1"/>
  <c r="X84" i="1"/>
  <c r="AA84" i="1"/>
  <c r="N82" i="1"/>
  <c r="Q82" i="1"/>
  <c r="Y81" i="1"/>
  <c r="Y80" i="1"/>
  <c r="Y79" i="1"/>
  <c r="Y78" i="1"/>
  <c r="Y77" i="1"/>
  <c r="Y76" i="1"/>
  <c r="Y75" i="1"/>
  <c r="Y74" i="1"/>
  <c r="Y73" i="1"/>
  <c r="Y72" i="1"/>
  <c r="R72" i="1"/>
  <c r="O72" i="1"/>
  <c r="X72" i="1"/>
  <c r="AA72" i="1"/>
  <c r="X81" i="1"/>
  <c r="AA81" i="1"/>
  <c r="X80" i="1"/>
  <c r="AA80" i="1"/>
  <c r="X79" i="1"/>
  <c r="AA79" i="1"/>
  <c r="X78" i="1"/>
  <c r="AA78" i="1"/>
  <c r="X77" i="1"/>
  <c r="AA77" i="1"/>
  <c r="X76" i="1"/>
  <c r="AA76" i="1"/>
  <c r="X75" i="1"/>
  <c r="AA75" i="1"/>
  <c r="X74" i="1"/>
  <c r="AA74" i="1"/>
  <c r="X73" i="1"/>
  <c r="AA73" i="1"/>
  <c r="N72" i="1"/>
  <c r="Q72" i="1"/>
  <c r="Y71" i="1"/>
  <c r="Y70" i="1"/>
  <c r="Y69" i="1"/>
  <c r="Y68" i="1"/>
  <c r="Y67" i="1"/>
  <c r="Y66" i="1"/>
  <c r="Y65" i="1"/>
  <c r="Y64" i="1"/>
  <c r="Y63" i="1"/>
  <c r="Y62" i="1"/>
  <c r="R62" i="1"/>
  <c r="O62" i="1"/>
  <c r="X62" i="1"/>
  <c r="AA62" i="1"/>
  <c r="X63" i="1"/>
  <c r="AA63" i="1"/>
  <c r="X71" i="1"/>
  <c r="AA71" i="1"/>
  <c r="X70" i="1"/>
  <c r="AA70" i="1"/>
  <c r="X69" i="1"/>
  <c r="AA69" i="1"/>
  <c r="X68" i="1"/>
  <c r="AA68" i="1"/>
  <c r="X67" i="1"/>
  <c r="AA67" i="1"/>
  <c r="X66" i="1"/>
  <c r="AA66" i="1"/>
  <c r="X65" i="1"/>
  <c r="AA65" i="1"/>
  <c r="X64" i="1"/>
  <c r="AA64" i="1"/>
  <c r="N62" i="1"/>
  <c r="Q62" i="1"/>
  <c r="Y61" i="1"/>
  <c r="Y60" i="1"/>
  <c r="Y59" i="1"/>
  <c r="Y58" i="1"/>
  <c r="Y57" i="1"/>
  <c r="Y56" i="1"/>
  <c r="Y55" i="1"/>
  <c r="Y54" i="1"/>
  <c r="Y53" i="1"/>
  <c r="Y52" i="1"/>
  <c r="R52" i="1"/>
  <c r="O52" i="1"/>
  <c r="X52" i="1"/>
  <c r="AA52" i="1"/>
  <c r="X61" i="1"/>
  <c r="AA61" i="1"/>
  <c r="X60" i="1"/>
  <c r="AA60" i="1"/>
  <c r="X59" i="1"/>
  <c r="AA59" i="1"/>
  <c r="X58" i="1"/>
  <c r="AA58" i="1"/>
  <c r="X57" i="1"/>
  <c r="AA57" i="1"/>
  <c r="X56" i="1"/>
  <c r="AA56" i="1"/>
  <c r="X55" i="1"/>
  <c r="AA55" i="1"/>
  <c r="X54" i="1"/>
  <c r="AA54" i="1"/>
  <c r="X53" i="1"/>
  <c r="AA53" i="1"/>
  <c r="N52" i="1"/>
  <c r="Q52" i="1"/>
  <c r="Y51" i="1"/>
  <c r="Y50" i="1"/>
  <c r="Y49" i="1"/>
  <c r="Y48" i="1"/>
  <c r="Y47" i="1"/>
  <c r="Y46" i="1"/>
  <c r="Y45" i="1"/>
  <c r="Y44" i="1"/>
  <c r="Y43" i="1"/>
  <c r="Y42" i="1"/>
  <c r="R42" i="1"/>
  <c r="O42" i="1"/>
  <c r="X42" i="1"/>
  <c r="AA42" i="1"/>
  <c r="X51" i="1"/>
  <c r="AA51" i="1"/>
  <c r="X50" i="1"/>
  <c r="AA50" i="1"/>
  <c r="X49" i="1"/>
  <c r="AA49" i="1"/>
  <c r="X48" i="1"/>
  <c r="AB48" i="1"/>
  <c r="AA48" i="1"/>
  <c r="X47" i="1"/>
  <c r="AA47" i="1"/>
  <c r="X46" i="1"/>
  <c r="AA46" i="1"/>
  <c r="X45" i="1"/>
  <c r="AA45" i="1"/>
  <c r="X44" i="1"/>
  <c r="AA44" i="1"/>
  <c r="X43" i="1"/>
  <c r="AA43" i="1"/>
  <c r="N42" i="1"/>
  <c r="Q42" i="1"/>
  <c r="Y41" i="1"/>
  <c r="Y40" i="1"/>
  <c r="Y39" i="1"/>
  <c r="Y38" i="1"/>
  <c r="Y37" i="1"/>
  <c r="Y36" i="1"/>
  <c r="Y35" i="1"/>
  <c r="Y34" i="1"/>
  <c r="Y33" i="1"/>
  <c r="Y32" i="1"/>
  <c r="R32" i="1"/>
  <c r="O32" i="1"/>
  <c r="X32" i="1"/>
  <c r="AA32" i="1"/>
  <c r="X41" i="1"/>
  <c r="AA41" i="1"/>
  <c r="X40" i="1"/>
  <c r="AA40" i="1"/>
  <c r="X39" i="1"/>
  <c r="AA39" i="1"/>
  <c r="X38" i="1"/>
  <c r="AA38" i="1"/>
  <c r="X37" i="1"/>
  <c r="AA37" i="1"/>
  <c r="X36" i="1"/>
  <c r="AA36" i="1"/>
  <c r="X35" i="1"/>
  <c r="AA35" i="1"/>
  <c r="X34" i="1"/>
  <c r="AA34" i="1"/>
  <c r="X33" i="1"/>
  <c r="AA33" i="1"/>
  <c r="N32" i="1"/>
  <c r="Q32" i="1"/>
  <c r="Y31" i="1"/>
  <c r="Y30" i="1"/>
  <c r="Y29" i="1"/>
  <c r="Y28" i="1"/>
  <c r="Y27" i="1"/>
  <c r="Y26" i="1"/>
  <c r="Y25" i="1"/>
  <c r="Y24" i="1"/>
  <c r="Y23" i="1"/>
  <c r="Y22" i="1"/>
  <c r="R22" i="1"/>
  <c r="O22" i="1"/>
  <c r="X22" i="1"/>
  <c r="AA22" i="1"/>
  <c r="X31" i="1"/>
  <c r="AA31" i="1"/>
  <c r="X30" i="1"/>
  <c r="AA30" i="1"/>
  <c r="X29" i="1"/>
  <c r="AA29" i="1"/>
  <c r="X28" i="1"/>
  <c r="AA28" i="1"/>
  <c r="X27" i="1"/>
  <c r="AA27" i="1"/>
  <c r="X26" i="1"/>
  <c r="AA26" i="1"/>
  <c r="X25" i="1"/>
  <c r="AA25" i="1"/>
  <c r="AB25" i="1"/>
  <c r="X24" i="1"/>
  <c r="AA24" i="1"/>
  <c r="X23" i="1"/>
  <c r="AA23" i="1"/>
  <c r="N22" i="1"/>
  <c r="Q22" i="1"/>
  <c r="Y21" i="1"/>
  <c r="Y20" i="1"/>
  <c r="Y19" i="1"/>
  <c r="Y18" i="1"/>
  <c r="Y17" i="1"/>
  <c r="Y16" i="1"/>
  <c r="Y15" i="1"/>
  <c r="Y14" i="1"/>
  <c r="Y12" i="1"/>
  <c r="X17" i="1"/>
  <c r="AA17" i="1"/>
  <c r="O12" i="1"/>
  <c r="S12" i="1" s="1"/>
  <c r="X12" i="1"/>
  <c r="AA12" i="1"/>
  <c r="X13" i="1"/>
  <c r="AA13" i="1"/>
  <c r="X14" i="1"/>
  <c r="AA14" i="1"/>
  <c r="X15" i="1"/>
  <c r="AA15" i="1"/>
  <c r="X16" i="1"/>
  <c r="AA16" i="1"/>
  <c r="X18" i="1"/>
  <c r="AA18" i="1"/>
  <c r="X21" i="1"/>
  <c r="AA21" i="1"/>
  <c r="X20" i="1"/>
  <c r="AA20" i="1"/>
  <c r="AB20" i="1"/>
  <c r="X19" i="1"/>
  <c r="AA19" i="1"/>
  <c r="N12" i="1"/>
  <c r="Q12" i="1"/>
  <c r="T12" i="1"/>
  <c r="A6" i="18"/>
  <c r="C6" i="18"/>
  <c r="E6" i="18"/>
  <c r="A7" i="18"/>
  <c r="C7" i="18"/>
  <c r="A8" i="18"/>
  <c r="C8" i="18"/>
  <c r="E8" i="18"/>
  <c r="A9" i="18"/>
  <c r="C9" i="18"/>
  <c r="E9" i="18"/>
  <c r="A10" i="18"/>
  <c r="C10" i="18"/>
  <c r="E10" i="18"/>
  <c r="A11" i="18"/>
  <c r="C11" i="18"/>
  <c r="E11" i="18"/>
  <c r="A12" i="18"/>
  <c r="C12" i="18"/>
  <c r="E12" i="18"/>
  <c r="A13" i="18"/>
  <c r="C13" i="18"/>
  <c r="E13" i="18"/>
  <c r="A14" i="18"/>
  <c r="C14" i="18"/>
  <c r="E14" i="18"/>
  <c r="B7" i="18" a="1"/>
  <c r="B7" i="18"/>
  <c r="AB355" i="1"/>
  <c r="AB357" i="1"/>
  <c r="AB361" i="1"/>
  <c r="AB39" i="1"/>
  <c r="AB29" i="1"/>
  <c r="AB38" i="1"/>
  <c r="AJ52" i="1"/>
  <c r="AI52" i="1"/>
  <c r="T72" i="1"/>
  <c r="AB86" i="1"/>
  <c r="AJ92" i="1"/>
  <c r="AB126" i="1"/>
  <c r="AB135" i="1"/>
  <c r="AB215" i="1"/>
  <c r="AB356" i="1"/>
  <c r="AB360" i="1"/>
  <c r="AB151" i="1"/>
  <c r="AB187" i="1"/>
  <c r="AB201" i="1"/>
  <c r="AJ232" i="1"/>
  <c r="AI232" i="1"/>
  <c r="AB265" i="1"/>
  <c r="AB306" i="1"/>
  <c r="AB378" i="1"/>
  <c r="AB384" i="1"/>
  <c r="AB383" i="1"/>
  <c r="AB400" i="1"/>
  <c r="AB310" i="1"/>
  <c r="T332" i="1"/>
  <c r="AB332" i="1"/>
  <c r="AB344" i="1"/>
  <c r="AB346" i="1"/>
  <c r="AB123" i="1"/>
  <c r="T132" i="1"/>
  <c r="AB144" i="1"/>
  <c r="AB142" i="1"/>
  <c r="T162" i="1"/>
  <c r="AB276" i="1"/>
  <c r="AB319" i="1"/>
  <c r="AJ322" i="1"/>
  <c r="AB348" i="1"/>
  <c r="AB65" i="1"/>
  <c r="AB71" i="1"/>
  <c r="AB62" i="1"/>
  <c r="AB77" i="1"/>
  <c r="AB81" i="1"/>
  <c r="S72" i="1"/>
  <c r="AB89" i="1"/>
  <c r="T172" i="1"/>
  <c r="AB174" i="1"/>
  <c r="T302" i="1"/>
  <c r="T312" i="1"/>
  <c r="AB320" i="1"/>
  <c r="AB124" i="1"/>
  <c r="AB138" i="1"/>
  <c r="S152" i="1"/>
  <c r="AB162" i="1"/>
  <c r="AG162" i="1"/>
  <c r="AB173" i="1"/>
  <c r="AB175" i="1"/>
  <c r="AB177" i="1"/>
  <c r="T182" i="1"/>
  <c r="AB307" i="1"/>
  <c r="S312" i="1"/>
  <c r="T322" i="1"/>
  <c r="AB329" i="1"/>
  <c r="AB333" i="1"/>
  <c r="AB337" i="1"/>
  <c r="AB352" i="1"/>
  <c r="AJ12" i="1"/>
  <c r="AI12" i="1" s="1"/>
  <c r="AB30" i="1"/>
  <c r="AB35" i="1"/>
  <c r="AB37" i="1"/>
  <c r="AB54" i="1"/>
  <c r="AB17" i="1"/>
  <c r="AB42" i="1"/>
  <c r="AG42" i="1"/>
  <c r="AG43" i="1"/>
  <c r="AF43" i="1"/>
  <c r="AB59" i="1"/>
  <c r="AB107" i="1"/>
  <c r="AB129" i="1"/>
  <c r="AB122" i="1"/>
  <c r="AG122" i="1"/>
  <c r="AB204" i="1"/>
  <c r="AB206" i="1"/>
  <c r="AB208" i="1"/>
  <c r="AB203" i="1"/>
  <c r="AB286" i="1"/>
  <c r="AB290" i="1"/>
  <c r="AB338" i="1"/>
  <c r="T362" i="1"/>
  <c r="AB58" i="1"/>
  <c r="AB64" i="1"/>
  <c r="AB21" i="1"/>
  <c r="T22" i="1"/>
  <c r="AB24" i="1"/>
  <c r="T102" i="1"/>
  <c r="AB104" i="1"/>
  <c r="AB113" i="1"/>
  <c r="AB117" i="1"/>
  <c r="AB121" i="1"/>
  <c r="AB139" i="1"/>
  <c r="AB198" i="1"/>
  <c r="AB193" i="1"/>
  <c r="AB207" i="1"/>
  <c r="AB211" i="1"/>
  <c r="AB216" i="1"/>
  <c r="T262" i="1"/>
  <c r="AG342" i="1"/>
  <c r="AF342" i="1"/>
  <c r="AB394" i="1"/>
  <c r="AB63" i="1"/>
  <c r="AB82" i="1"/>
  <c r="AG82" i="1"/>
  <c r="AB93" i="1"/>
  <c r="AB95" i="1"/>
  <c r="AB101" i="1"/>
  <c r="AB128" i="1"/>
  <c r="AB125" i="1"/>
  <c r="AB132" i="1"/>
  <c r="AG132" i="1"/>
  <c r="AB145" i="1"/>
  <c r="AB147" i="1"/>
  <c r="AB152" i="1"/>
  <c r="AB168" i="1"/>
  <c r="AB195" i="1"/>
  <c r="AJ202" i="1"/>
  <c r="AJ203" i="1"/>
  <c r="AB266" i="1"/>
  <c r="AB297" i="1"/>
  <c r="AB301" i="1"/>
  <c r="AB341" i="1"/>
  <c r="AB353" i="1"/>
  <c r="AB367" i="1"/>
  <c r="AB377" i="1"/>
  <c r="AB373" i="1"/>
  <c r="AB385" i="1"/>
  <c r="AB391" i="1"/>
  <c r="AB395" i="1"/>
  <c r="AB397" i="1"/>
  <c r="AB401" i="1"/>
  <c r="AB393" i="1"/>
  <c r="AB32" i="1"/>
  <c r="AB94" i="1"/>
  <c r="T112" i="1"/>
  <c r="AJ112" i="1"/>
  <c r="AI112" i="1"/>
  <c r="AB146" i="1"/>
  <c r="AB150" i="1"/>
  <c r="AB143" i="1"/>
  <c r="AB156" i="1"/>
  <c r="AB158" i="1"/>
  <c r="AB155" i="1"/>
  <c r="AB191" i="1"/>
  <c r="AG182" i="1"/>
  <c r="AB202" i="1"/>
  <c r="AB220" i="1"/>
  <c r="AB226" i="1"/>
  <c r="AB228" i="1"/>
  <c r="AB230" i="1"/>
  <c r="AB222" i="1"/>
  <c r="AG222" i="1"/>
  <c r="AF222" i="1"/>
  <c r="AB240" i="1"/>
  <c r="AB239" i="1"/>
  <c r="AB246" i="1"/>
  <c r="S262" i="1"/>
  <c r="AB328" i="1"/>
  <c r="S322" i="1"/>
  <c r="AB343" i="1"/>
  <c r="AB380" i="1"/>
  <c r="AB52" i="1"/>
  <c r="AB73" i="1"/>
  <c r="S112" i="1"/>
  <c r="T152" i="1"/>
  <c r="AB154" i="1"/>
  <c r="AB190" i="1"/>
  <c r="S182" i="1"/>
  <c r="AB221" i="1"/>
  <c r="AB213" i="1"/>
  <c r="S212" i="1"/>
  <c r="AB225" i="1"/>
  <c r="AB229" i="1"/>
  <c r="AB232" i="1"/>
  <c r="AG232" i="1"/>
  <c r="AB249" i="1"/>
  <c r="T292" i="1"/>
  <c r="AB354" i="1"/>
  <c r="AB365" i="1"/>
  <c r="AB375" i="1"/>
  <c r="AB392" i="1"/>
  <c r="AG392" i="1"/>
  <c r="AF392" i="1"/>
  <c r="AG343" i="1"/>
  <c r="AB15" i="1"/>
  <c r="AB23" i="1"/>
  <c r="S32" i="1"/>
  <c r="AG62" i="1"/>
  <c r="AG63" i="1"/>
  <c r="AG64" i="1"/>
  <c r="AG65" i="1"/>
  <c r="AB13" i="1"/>
  <c r="AJ42" i="1"/>
  <c r="AJ43" i="1"/>
  <c r="AB60" i="1"/>
  <c r="AB76" i="1"/>
  <c r="AB57" i="1"/>
  <c r="AB70" i="1"/>
  <c r="AB80" i="1"/>
  <c r="AB116" i="1"/>
  <c r="AB112" i="1"/>
  <c r="AG112" i="1"/>
  <c r="AB127" i="1"/>
  <c r="AB130" i="1"/>
  <c r="AJ122" i="1"/>
  <c r="AI122" i="1"/>
  <c r="AB149" i="1"/>
  <c r="AB153" i="1"/>
  <c r="T202" i="1"/>
  <c r="AB210" i="1"/>
  <c r="AB238" i="1"/>
  <c r="AB250" i="1"/>
  <c r="AB244" i="1"/>
  <c r="AB242" i="1"/>
  <c r="AG242" i="1"/>
  <c r="AF242" i="1"/>
  <c r="AB259" i="1"/>
  <c r="AB261" i="1"/>
  <c r="T272" i="1"/>
  <c r="AB295" i="1"/>
  <c r="AB293" i="1"/>
  <c r="S292" i="1"/>
  <c r="AB327" i="1"/>
  <c r="AB330" i="1"/>
  <c r="AB325" i="1"/>
  <c r="AB323" i="1"/>
  <c r="AJ323" i="1"/>
  <c r="AI323" i="1"/>
  <c r="AB340" i="1"/>
  <c r="T342" i="1"/>
  <c r="AB359" i="1"/>
  <c r="AB371" i="1"/>
  <c r="AB363" i="1"/>
  <c r="T372" i="1"/>
  <c r="AB381" i="1"/>
  <c r="AB388" i="1"/>
  <c r="AB399" i="1"/>
  <c r="AJ413" i="1"/>
  <c r="AI413" i="1"/>
  <c r="AB18" i="1"/>
  <c r="AB44" i="1"/>
  <c r="AB34" i="1"/>
  <c r="AJ32" i="1"/>
  <c r="AB50" i="1"/>
  <c r="AB55" i="1"/>
  <c r="AB68" i="1"/>
  <c r="AB84" i="1"/>
  <c r="AB114" i="1"/>
  <c r="AB118" i="1"/>
  <c r="AB120" i="1"/>
  <c r="AB136" i="1"/>
  <c r="AB170" i="1"/>
  <c r="AB163" i="1"/>
  <c r="AJ172" i="1"/>
  <c r="AI172" i="1"/>
  <c r="AB188" i="1"/>
  <c r="AB199" i="1"/>
  <c r="AB19" i="1"/>
  <c r="AB26" i="1"/>
  <c r="AB22" i="1"/>
  <c r="AB40" i="1"/>
  <c r="AB45" i="1"/>
  <c r="AB47" i="1"/>
  <c r="AB49" i="1"/>
  <c r="T82" i="1"/>
  <c r="T92" i="1"/>
  <c r="AB96" i="1"/>
  <c r="AB100" i="1"/>
  <c r="AB110" i="1"/>
  <c r="AB102" i="1"/>
  <c r="AG102" i="1"/>
  <c r="AF102" i="1"/>
  <c r="T142" i="1"/>
  <c r="AB159" i="1"/>
  <c r="AB167" i="1"/>
  <c r="AB176" i="1"/>
  <c r="AB180" i="1"/>
  <c r="AB172" i="1"/>
  <c r="AG172" i="1"/>
  <c r="AB185" i="1"/>
  <c r="AB196" i="1"/>
  <c r="AB205" i="1"/>
  <c r="AB245" i="1"/>
  <c r="AJ262" i="1"/>
  <c r="AJ263" i="1"/>
  <c r="AI263" i="1"/>
  <c r="AB272" i="1"/>
  <c r="AG272" i="1"/>
  <c r="AB285" i="1"/>
  <c r="AB300" i="1"/>
  <c r="AB335" i="1"/>
  <c r="AB345" i="1"/>
  <c r="AB350" i="1"/>
  <c r="T352" i="1"/>
  <c r="AB368" i="1"/>
  <c r="AJ82" i="1"/>
  <c r="AI82" i="1"/>
  <c r="AB97" i="1"/>
  <c r="AB92" i="1"/>
  <c r="S122" i="1"/>
  <c r="AB134" i="1"/>
  <c r="AB137" i="1"/>
  <c r="AB140" i="1"/>
  <c r="AB148" i="1"/>
  <c r="AB160" i="1"/>
  <c r="AB164" i="1"/>
  <c r="AB171" i="1"/>
  <c r="AB179" i="1"/>
  <c r="AB186" i="1"/>
  <c r="AB189" i="1"/>
  <c r="T192" i="1"/>
  <c r="AB197" i="1"/>
  <c r="AB200" i="1"/>
  <c r="AB209" i="1"/>
  <c r="AB214" i="1"/>
  <c r="AB212" i="1"/>
  <c r="AG212" i="1"/>
  <c r="AF212" i="1"/>
  <c r="AJ222" i="1"/>
  <c r="AI222" i="1"/>
  <c r="AB233" i="1"/>
  <c r="AJ233" i="1"/>
  <c r="AI233" i="1"/>
  <c r="T242" i="1"/>
  <c r="AB256" i="1"/>
  <c r="AB258" i="1"/>
  <c r="AB264" i="1"/>
  <c r="AB267" i="1"/>
  <c r="AB269" i="1"/>
  <c r="AB271" i="1"/>
  <c r="AB277" i="1"/>
  <c r="AB279" i="1"/>
  <c r="AB281" i="1"/>
  <c r="AB274" i="1"/>
  <c r="T282" i="1"/>
  <c r="AB291" i="1"/>
  <c r="AB303" i="1"/>
  <c r="AB321" i="1"/>
  <c r="AB326" i="1"/>
  <c r="AB331" i="1"/>
  <c r="AB324" i="1"/>
  <c r="AB322" i="1"/>
  <c r="AG322" i="1"/>
  <c r="AB334" i="1"/>
  <c r="AB339" i="1"/>
  <c r="AB351" i="1"/>
  <c r="AB358" i="1"/>
  <c r="AB369" i="1"/>
  <c r="AB364" i="1"/>
  <c r="AB362" i="1"/>
  <c r="AG362" i="1"/>
  <c r="AB379" i="1"/>
  <c r="AB374" i="1"/>
  <c r="AB372" i="1"/>
  <c r="AG372" i="1"/>
  <c r="AB386" i="1"/>
  <c r="AB389" i="1"/>
  <c r="AB382" i="1"/>
  <c r="AG382" i="1"/>
  <c r="AJ392" i="1"/>
  <c r="AI392" i="1"/>
  <c r="AJ93" i="1"/>
  <c r="AI93" i="1"/>
  <c r="AI92" i="1"/>
  <c r="AJ83" i="1"/>
  <c r="AI83" i="1"/>
  <c r="AG352" i="1"/>
  <c r="AJ352" i="1"/>
  <c r="AB27" i="1"/>
  <c r="AB33" i="1"/>
  <c r="AB36" i="1"/>
  <c r="AB41" i="1"/>
  <c r="AB43" i="1"/>
  <c r="AB46" i="1"/>
  <c r="AB51" i="1"/>
  <c r="AB53" i="1"/>
  <c r="AB56" i="1"/>
  <c r="AB61" i="1"/>
  <c r="AB69" i="1"/>
  <c r="AJ62" i="1"/>
  <c r="AI62" i="1"/>
  <c r="AB75" i="1"/>
  <c r="AB72" i="1"/>
  <c r="AB88" i="1"/>
  <c r="AB133" i="1"/>
  <c r="AB141" i="1"/>
  <c r="AG202" i="1"/>
  <c r="AG22" i="1"/>
  <c r="AF22" i="1"/>
  <c r="AG192" i="1"/>
  <c r="AJ192" i="1"/>
  <c r="AB16" i="1"/>
  <c r="AB14" i="1"/>
  <c r="AB12" i="1"/>
  <c r="AG12" i="1"/>
  <c r="AG13" i="1"/>
  <c r="AF13" i="1" s="1"/>
  <c r="AB28" i="1"/>
  <c r="AB31" i="1"/>
  <c r="T32" i="1"/>
  <c r="AG32" i="1"/>
  <c r="AG33" i="1"/>
  <c r="AF33" i="1"/>
  <c r="T42" i="1"/>
  <c r="T52" i="1"/>
  <c r="AG52" i="1"/>
  <c r="AG53" i="1"/>
  <c r="AF53" i="1"/>
  <c r="T62" i="1"/>
  <c r="AB66" i="1"/>
  <c r="AB74" i="1"/>
  <c r="AB79" i="1"/>
  <c r="AB85" i="1"/>
  <c r="AB87" i="1"/>
  <c r="AB83" i="1"/>
  <c r="AB98" i="1"/>
  <c r="AB103" i="1"/>
  <c r="AB105" i="1"/>
  <c r="T122" i="1"/>
  <c r="AB131" i="1"/>
  <c r="AJ132" i="1"/>
  <c r="AB67" i="1"/>
  <c r="AB78" i="1"/>
  <c r="AJ72" i="1"/>
  <c r="AB91" i="1"/>
  <c r="AG142" i="1"/>
  <c r="AJ142" i="1"/>
  <c r="AJ182" i="1"/>
  <c r="AB109" i="1"/>
  <c r="AB111" i="1"/>
  <c r="AB115" i="1"/>
  <c r="AB157" i="1"/>
  <c r="AB166" i="1"/>
  <c r="AJ162" i="1"/>
  <c r="AI162" i="1"/>
  <c r="AB178" i="1"/>
  <c r="AB181" i="1"/>
  <c r="T212" i="1"/>
  <c r="T232" i="1"/>
  <c r="AB237" i="1"/>
  <c r="AB235" i="1"/>
  <c r="AJ252" i="1"/>
  <c r="AI252" i="1"/>
  <c r="AJ292" i="1"/>
  <c r="AI322" i="1"/>
  <c r="AB336" i="1"/>
  <c r="AJ332" i="1"/>
  <c r="AB99" i="1"/>
  <c r="AB106" i="1"/>
  <c r="AB108" i="1"/>
  <c r="AB119" i="1"/>
  <c r="AB161" i="1"/>
  <c r="AJ152" i="1"/>
  <c r="AI152" i="1"/>
  <c r="AB165" i="1"/>
  <c r="T252" i="1"/>
  <c r="S252" i="1"/>
  <c r="AB169" i="1"/>
  <c r="AB217" i="1"/>
  <c r="AB219" i="1"/>
  <c r="AJ212" i="1"/>
  <c r="AJ213" i="1"/>
  <c r="AB247" i="1"/>
  <c r="AB260" i="1"/>
  <c r="AB254" i="1"/>
  <c r="AB252" i="1"/>
  <c r="AG252" i="1"/>
  <c r="AF252" i="1"/>
  <c r="AB273" i="1"/>
  <c r="AB282" i="1"/>
  <c r="AG282" i="1"/>
  <c r="AF282" i="1"/>
  <c r="S282" i="1"/>
  <c r="AB296" i="1"/>
  <c r="AB294" i="1"/>
  <c r="AB292" i="1"/>
  <c r="AG292" i="1"/>
  <c r="AB304" i="1"/>
  <c r="AB311" i="1"/>
  <c r="AG312" i="1"/>
  <c r="AG313" i="1"/>
  <c r="S362" i="1"/>
  <c r="AJ362" i="1"/>
  <c r="T382" i="1"/>
  <c r="T392" i="1"/>
  <c r="AF402" i="1"/>
  <c r="AG403" i="1"/>
  <c r="AF403" i="1"/>
  <c r="AB218" i="1"/>
  <c r="T222" i="1"/>
  <c r="AB227" i="1"/>
  <c r="AB251" i="1"/>
  <c r="AB243" i="1"/>
  <c r="AJ242" i="1"/>
  <c r="AI242" i="1"/>
  <c r="AB255" i="1"/>
  <c r="AB257" i="1"/>
  <c r="AB263" i="1"/>
  <c r="S272" i="1"/>
  <c r="AB275" i="1"/>
  <c r="AB288" i="1"/>
  <c r="AB299" i="1"/>
  <c r="AB305" i="1"/>
  <c r="AB308" i="1"/>
  <c r="AB302" i="1"/>
  <c r="AG302" i="1"/>
  <c r="AF302" i="1"/>
  <c r="AJ302" i="1"/>
  <c r="AI302" i="1"/>
  <c r="AJ372" i="1"/>
  <c r="AB390" i="1"/>
  <c r="AJ382" i="1"/>
  <c r="AB287" i="1"/>
  <c r="AB283" i="1"/>
  <c r="AB298" i="1"/>
  <c r="AB309" i="1"/>
  <c r="AG332" i="1"/>
  <c r="AJ342" i="1"/>
  <c r="AJ414" i="1"/>
  <c r="AG413" i="1"/>
  <c r="AJ403" i="1"/>
  <c r="AI212" i="1"/>
  <c r="AG233" i="1"/>
  <c r="AF233" i="1"/>
  <c r="AF232" i="1"/>
  <c r="AB231" i="1"/>
  <c r="AB223" i="1"/>
  <c r="AB241" i="1"/>
  <c r="AB248" i="1"/>
  <c r="AB224" i="1"/>
  <c r="AB236" i="1"/>
  <c r="AB234" i="1"/>
  <c r="AB253" i="1"/>
  <c r="AJ272" i="1"/>
  <c r="AB268" i="1"/>
  <c r="AB289" i="1"/>
  <c r="AJ282" i="1"/>
  <c r="AB318" i="1"/>
  <c r="AB262" i="1"/>
  <c r="AG262" i="1"/>
  <c r="AB278" i="1"/>
  <c r="AB284" i="1"/>
  <c r="AJ312" i="1"/>
  <c r="AJ153" i="1"/>
  <c r="AI153" i="1"/>
  <c r="AG173" i="1"/>
  <c r="AF172" i="1"/>
  <c r="AG152" i="1"/>
  <c r="AF152" i="1"/>
  <c r="AG113" i="1"/>
  <c r="AF112" i="1"/>
  <c r="AG92" i="1"/>
  <c r="AG72" i="1"/>
  <c r="AJ102" i="1"/>
  <c r="AG34" i="1"/>
  <c r="AF34" i="1"/>
  <c r="AI32" i="1"/>
  <c r="AJ33" i="1"/>
  <c r="AI42" i="1"/>
  <c r="AJ53" i="1"/>
  <c r="AJ63" i="1"/>
  <c r="AJ22" i="1"/>
  <c r="L11" i="18"/>
  <c r="M7" i="18"/>
  <c r="I11" i="18"/>
  <c r="L8" i="18"/>
  <c r="M11" i="18"/>
  <c r="K9" i="18"/>
  <c r="I7" i="18"/>
  <c r="J10" i="18"/>
  <c r="E7" i="18"/>
  <c r="J7" i="18"/>
  <c r="I8" i="18"/>
  <c r="M8" i="18"/>
  <c r="L9" i="18"/>
  <c r="K10" i="18"/>
  <c r="J11" i="18"/>
  <c r="K7" i="18"/>
  <c r="J8" i="18"/>
  <c r="I9" i="18"/>
  <c r="M9" i="18"/>
  <c r="L10" i="18"/>
  <c r="K11" i="18"/>
  <c r="L7" i="18"/>
  <c r="K8" i="18"/>
  <c r="J9" i="18"/>
  <c r="I10" i="18"/>
  <c r="M10" i="18"/>
  <c r="AF62" i="1"/>
  <c r="AJ13" i="1"/>
  <c r="AI13" i="1"/>
  <c r="AF12" i="1"/>
  <c r="AJ94" i="1"/>
  <c r="AI94" i="1"/>
  <c r="AI262" i="1"/>
  <c r="AG234" i="1"/>
  <c r="AF234" i="1"/>
  <c r="AG213" i="1"/>
  <c r="AG323" i="1"/>
  <c r="AF323" i="1"/>
  <c r="AF52" i="1"/>
  <c r="AJ264" i="1"/>
  <c r="AF32" i="1"/>
  <c r="AG54" i="1"/>
  <c r="AF54" i="1"/>
  <c r="AJ113" i="1"/>
  <c r="AI203" i="1"/>
  <c r="AJ204" i="1"/>
  <c r="AJ205" i="1"/>
  <c r="AG243" i="1"/>
  <c r="AG244" i="1"/>
  <c r="AJ223" i="1"/>
  <c r="AI202" i="1"/>
  <c r="AJ123" i="1"/>
  <c r="AJ84" i="1"/>
  <c r="AI84" i="1"/>
  <c r="AF312" i="1"/>
  <c r="AJ154" i="1"/>
  <c r="AJ243" i="1"/>
  <c r="AI243" i="1"/>
  <c r="AF63" i="1"/>
  <c r="AG303" i="1"/>
  <c r="AG304" i="1"/>
  <c r="AJ253" i="1"/>
  <c r="AI253" i="1"/>
  <c r="AF322" i="1"/>
  <c r="AJ393" i="1"/>
  <c r="AJ394" i="1"/>
  <c r="AG253" i="1"/>
  <c r="AF253" i="1"/>
  <c r="AF64" i="1"/>
  <c r="AG383" i="1"/>
  <c r="AG384" i="1"/>
  <c r="AF382" i="1"/>
  <c r="AJ163" i="1"/>
  <c r="AJ164" i="1"/>
  <c r="AG283" i="1"/>
  <c r="AF283" i="1"/>
  <c r="AJ173" i="1"/>
  <c r="AI173" i="1"/>
  <c r="AJ324" i="1"/>
  <c r="AI324" i="1"/>
  <c r="AF372" i="1"/>
  <c r="AG373" i="1"/>
  <c r="AF42" i="1"/>
  <c r="AG44" i="1"/>
  <c r="AF44" i="1"/>
  <c r="AG223" i="1"/>
  <c r="AF223" i="1"/>
  <c r="AG393" i="1"/>
  <c r="AG394" i="1"/>
  <c r="AG344" i="1"/>
  <c r="AF343" i="1"/>
  <c r="AF362" i="1"/>
  <c r="AG363" i="1"/>
  <c r="AG103" i="1"/>
  <c r="AF103" i="1"/>
  <c r="AJ303" i="1"/>
  <c r="AI303" i="1"/>
  <c r="AI382" i="1"/>
  <c r="AJ383" i="1"/>
  <c r="AI362" i="1"/>
  <c r="AJ363" i="1"/>
  <c r="AI142" i="1"/>
  <c r="AJ143" i="1"/>
  <c r="AJ73" i="1"/>
  <c r="AI72" i="1"/>
  <c r="AI132" i="1"/>
  <c r="AJ133" i="1"/>
  <c r="AG193" i="1"/>
  <c r="AF192" i="1"/>
  <c r="AI352" i="1"/>
  <c r="AJ353" i="1"/>
  <c r="AJ333" i="1"/>
  <c r="AI332" i="1"/>
  <c r="AG183" i="1"/>
  <c r="AF182" i="1"/>
  <c r="AF213" i="1"/>
  <c r="AG214" i="1"/>
  <c r="AG203" i="1"/>
  <c r="AF202" i="1"/>
  <c r="AG23" i="1"/>
  <c r="AJ244" i="1"/>
  <c r="AG404" i="1"/>
  <c r="AF404" i="1"/>
  <c r="AG143" i="1"/>
  <c r="AF142" i="1"/>
  <c r="AG133" i="1"/>
  <c r="AF132" i="1"/>
  <c r="AG353" i="1"/>
  <c r="AF352" i="1"/>
  <c r="AI123" i="1"/>
  <c r="AJ124" i="1"/>
  <c r="AI414" i="1"/>
  <c r="AJ415" i="1"/>
  <c r="AJ343" i="1"/>
  <c r="AI342" i="1"/>
  <c r="AI192" i="1"/>
  <c r="AJ193" i="1"/>
  <c r="AF332" i="1"/>
  <c r="AG333" i="1"/>
  <c r="AI372" i="1"/>
  <c r="AJ373" i="1"/>
  <c r="AJ293" i="1"/>
  <c r="AI292" i="1"/>
  <c r="AI182" i="1"/>
  <c r="AJ183" i="1"/>
  <c r="AF122" i="1"/>
  <c r="AG123" i="1"/>
  <c r="AI403" i="1"/>
  <c r="AJ404" i="1"/>
  <c r="AG405" i="1"/>
  <c r="AF413" i="1"/>
  <c r="AG414" i="1"/>
  <c r="AG224" i="1"/>
  <c r="AG314" i="1"/>
  <c r="AF313" i="1"/>
  <c r="AJ273" i="1"/>
  <c r="AI272" i="1"/>
  <c r="AJ313" i="1"/>
  <c r="AI312" i="1"/>
  <c r="AG273" i="1"/>
  <c r="AF272" i="1"/>
  <c r="AJ254" i="1"/>
  <c r="AJ234" i="1"/>
  <c r="AF262" i="1"/>
  <c r="AG263" i="1"/>
  <c r="AG293" i="1"/>
  <c r="AF292" i="1"/>
  <c r="AI264" i="1"/>
  <c r="AJ265" i="1"/>
  <c r="AG235" i="1"/>
  <c r="AJ214" i="1"/>
  <c r="AI213" i="1"/>
  <c r="AJ304" i="1"/>
  <c r="AI282" i="1"/>
  <c r="AJ283" i="1"/>
  <c r="AF162" i="1"/>
  <c r="AG163" i="1"/>
  <c r="AI154" i="1"/>
  <c r="AJ155" i="1"/>
  <c r="AG153" i="1"/>
  <c r="AG174" i="1"/>
  <c r="AF173" i="1"/>
  <c r="AG114" i="1"/>
  <c r="AF113" i="1"/>
  <c r="AF72" i="1"/>
  <c r="AG73" i="1"/>
  <c r="AF92" i="1"/>
  <c r="AG93" i="1"/>
  <c r="AJ95" i="1"/>
  <c r="AJ103" i="1"/>
  <c r="AI102" i="1"/>
  <c r="AF82" i="1"/>
  <c r="AG83" i="1"/>
  <c r="AJ114" i="1"/>
  <c r="AI113" i="1"/>
  <c r="AJ64" i="1"/>
  <c r="AI63" i="1"/>
  <c r="AI53" i="1"/>
  <c r="AJ54" i="1"/>
  <c r="AI43" i="1"/>
  <c r="AJ44" i="1"/>
  <c r="AI33" i="1"/>
  <c r="AJ34" i="1"/>
  <c r="AG35" i="1"/>
  <c r="AG66" i="1"/>
  <c r="AF65" i="1"/>
  <c r="AI22" i="1"/>
  <c r="AJ23" i="1"/>
  <c r="AG14" i="1"/>
  <c r="AF14" i="1" s="1"/>
  <c r="AJ14" i="1"/>
  <c r="AG24" i="1"/>
  <c r="AF23" i="1"/>
  <c r="AI204" i="1"/>
  <c r="AF243" i="1"/>
  <c r="AG45" i="1"/>
  <c r="AG46" i="1"/>
  <c r="AF46" i="1"/>
  <c r="AJ325" i="1"/>
  <c r="AJ85" i="1"/>
  <c r="AG284" i="1"/>
  <c r="AF393" i="1"/>
  <c r="AG55" i="1"/>
  <c r="AG56" i="1"/>
  <c r="AI393" i="1"/>
  <c r="AG324" i="1"/>
  <c r="AI223" i="1"/>
  <c r="AJ224" i="1"/>
  <c r="AG254" i="1"/>
  <c r="AJ174" i="1"/>
  <c r="AI174" i="1"/>
  <c r="AF303" i="1"/>
  <c r="AI163" i="1"/>
  <c r="AF383" i="1"/>
  <c r="AG104" i="1"/>
  <c r="AG105" i="1"/>
  <c r="AF344" i="1"/>
  <c r="AG345" i="1"/>
  <c r="AF373" i="1"/>
  <c r="AG374" i="1"/>
  <c r="AF123" i="1"/>
  <c r="AG124" i="1"/>
  <c r="AJ374" i="1"/>
  <c r="AI373" i="1"/>
  <c r="AJ344" i="1"/>
  <c r="AI343" i="1"/>
  <c r="AF133" i="1"/>
  <c r="AG134" i="1"/>
  <c r="AI143" i="1"/>
  <c r="AJ144" i="1"/>
  <c r="AF363" i="1"/>
  <c r="AG364" i="1"/>
  <c r="AF45" i="1"/>
  <c r="AI193" i="1"/>
  <c r="AJ194" i="1"/>
  <c r="AI415" i="1"/>
  <c r="AJ416" i="1"/>
  <c r="AF203" i="1"/>
  <c r="AG204" i="1"/>
  <c r="AJ334" i="1"/>
  <c r="AI333" i="1"/>
  <c r="AF384" i="1"/>
  <c r="AG385" i="1"/>
  <c r="AI183" i="1"/>
  <c r="AJ184" i="1"/>
  <c r="AG215" i="1"/>
  <c r="AF214" i="1"/>
  <c r="AI133" i="1"/>
  <c r="AJ134" i="1"/>
  <c r="AI325" i="1"/>
  <c r="AJ326" i="1"/>
  <c r="AJ384" i="1"/>
  <c r="AI383" i="1"/>
  <c r="AF333" i="1"/>
  <c r="AG334" i="1"/>
  <c r="AG354" i="1"/>
  <c r="AF353" i="1"/>
  <c r="AG144" i="1"/>
  <c r="AF143" i="1"/>
  <c r="AI244" i="1"/>
  <c r="AJ245" i="1"/>
  <c r="AI353" i="1"/>
  <c r="AJ354" i="1"/>
  <c r="AJ364" i="1"/>
  <c r="AI363" i="1"/>
  <c r="AI394" i="1"/>
  <c r="AJ395" i="1"/>
  <c r="AI293" i="1"/>
  <c r="AJ294" i="1"/>
  <c r="AI124" i="1"/>
  <c r="AJ125" i="1"/>
  <c r="AG395" i="1"/>
  <c r="AF394" i="1"/>
  <c r="AG184" i="1"/>
  <c r="AF183" i="1"/>
  <c r="AG194" i="1"/>
  <c r="AF193" i="1"/>
  <c r="AI73" i="1"/>
  <c r="AJ74" i="1"/>
  <c r="AI205" i="1"/>
  <c r="AJ206" i="1"/>
  <c r="AF414" i="1"/>
  <c r="AG415" i="1"/>
  <c r="AI404" i="1"/>
  <c r="AJ405" i="1"/>
  <c r="AF405" i="1"/>
  <c r="AG406" i="1"/>
  <c r="AI273" i="1"/>
  <c r="AJ274" i="1"/>
  <c r="AF314" i="1"/>
  <c r="AG315" i="1"/>
  <c r="AJ284" i="1"/>
  <c r="AI283" i="1"/>
  <c r="AF293" i="1"/>
  <c r="AG294" i="1"/>
  <c r="AJ266" i="1"/>
  <c r="AI265" i="1"/>
  <c r="AF263" i="1"/>
  <c r="AG264" i="1"/>
  <c r="AF284" i="1"/>
  <c r="AG285" i="1"/>
  <c r="AJ215" i="1"/>
  <c r="AI214" i="1"/>
  <c r="AI234" i="1"/>
  <c r="AJ235" i="1"/>
  <c r="AG236" i="1"/>
  <c r="AF235" i="1"/>
  <c r="AJ255" i="1"/>
  <c r="AI254" i="1"/>
  <c r="AF304" i="1"/>
  <c r="AG305" i="1"/>
  <c r="AF244" i="1"/>
  <c r="AG245" i="1"/>
  <c r="AJ305" i="1"/>
  <c r="AI304" i="1"/>
  <c r="AF273" i="1"/>
  <c r="AG274" i="1"/>
  <c r="AJ314" i="1"/>
  <c r="AI313" i="1"/>
  <c r="AF224" i="1"/>
  <c r="AG225" i="1"/>
  <c r="AI164" i="1"/>
  <c r="AJ165" i="1"/>
  <c r="AI155" i="1"/>
  <c r="AJ156" i="1"/>
  <c r="AJ175" i="1"/>
  <c r="AF174" i="1"/>
  <c r="AG175" i="1"/>
  <c r="AG164" i="1"/>
  <c r="AF163" i="1"/>
  <c r="AF153" i="1"/>
  <c r="AG154" i="1"/>
  <c r="AI95" i="1"/>
  <c r="AJ96" i="1"/>
  <c r="AI85" i="1"/>
  <c r="AJ86" i="1"/>
  <c r="AJ115" i="1"/>
  <c r="AI114" i="1"/>
  <c r="AJ104" i="1"/>
  <c r="AI103" i="1"/>
  <c r="AF93" i="1"/>
  <c r="AG94" i="1"/>
  <c r="AF73" i="1"/>
  <c r="AG74" i="1"/>
  <c r="AG84" i="1"/>
  <c r="AF83" i="1"/>
  <c r="AG115" i="1"/>
  <c r="AF114" i="1"/>
  <c r="AJ35" i="1"/>
  <c r="AI34" i="1"/>
  <c r="AF66" i="1"/>
  <c r="AG67" i="1"/>
  <c r="AG36" i="1"/>
  <c r="AF35" i="1"/>
  <c r="AJ45" i="1"/>
  <c r="AI44" i="1"/>
  <c r="AJ55" i="1"/>
  <c r="AI54" i="1"/>
  <c r="AG47" i="1"/>
  <c r="AI64" i="1"/>
  <c r="AJ65" i="1"/>
  <c r="AG15" i="1"/>
  <c r="AG16" i="1" s="1"/>
  <c r="AJ15" i="1"/>
  <c r="AI14" i="1"/>
  <c r="AI23" i="1"/>
  <c r="AJ24" i="1"/>
  <c r="AF24" i="1"/>
  <c r="AG25" i="1"/>
  <c r="AF55" i="1"/>
  <c r="AG325" i="1"/>
  <c r="AF324" i="1"/>
  <c r="AF104" i="1"/>
  <c r="AG255" i="1"/>
  <c r="AF254" i="1"/>
  <c r="AI224" i="1"/>
  <c r="AJ225" i="1"/>
  <c r="AF374" i="1"/>
  <c r="AG375" i="1"/>
  <c r="AF345" i="1"/>
  <c r="AG346" i="1"/>
  <c r="AF354" i="1"/>
  <c r="AG355" i="1"/>
  <c r="AI334" i="1"/>
  <c r="AJ335" i="1"/>
  <c r="AF364" i="1"/>
  <c r="AG365" i="1"/>
  <c r="AF134" i="1"/>
  <c r="AG135" i="1"/>
  <c r="AJ207" i="1"/>
  <c r="AI206" i="1"/>
  <c r="AI395" i="1"/>
  <c r="AJ396" i="1"/>
  <c r="AJ355" i="1"/>
  <c r="AI354" i="1"/>
  <c r="AJ135" i="1"/>
  <c r="AI134" i="1"/>
  <c r="AG386" i="1"/>
  <c r="AF385" i="1"/>
  <c r="AF204" i="1"/>
  <c r="AG205" i="1"/>
  <c r="AJ195" i="1"/>
  <c r="AI194" i="1"/>
  <c r="AI374" i="1"/>
  <c r="AJ375" i="1"/>
  <c r="AG185" i="1"/>
  <c r="AF184" i="1"/>
  <c r="AF194" i="1"/>
  <c r="AG195" i="1"/>
  <c r="AG396" i="1"/>
  <c r="AF395" i="1"/>
  <c r="AF144" i="1"/>
  <c r="AG145" i="1"/>
  <c r="AI384" i="1"/>
  <c r="AJ385" i="1"/>
  <c r="AJ145" i="1"/>
  <c r="AI144" i="1"/>
  <c r="AG125" i="1"/>
  <c r="AF124" i="1"/>
  <c r="AI364" i="1"/>
  <c r="AJ365" i="1"/>
  <c r="AF215" i="1"/>
  <c r="AG216" i="1"/>
  <c r="AI74" i="1"/>
  <c r="AJ75" i="1"/>
  <c r="AI125" i="1"/>
  <c r="AJ126" i="1"/>
  <c r="AI294" i="1"/>
  <c r="AJ295" i="1"/>
  <c r="AI245" i="1"/>
  <c r="AJ246" i="1"/>
  <c r="AF334" i="1"/>
  <c r="AG335" i="1"/>
  <c r="AJ327" i="1"/>
  <c r="AI326" i="1"/>
  <c r="AJ185" i="1"/>
  <c r="AI184" i="1"/>
  <c r="AI416" i="1"/>
  <c r="AJ417" i="1"/>
  <c r="AI344" i="1"/>
  <c r="AJ345" i="1"/>
  <c r="AI405" i="1"/>
  <c r="AJ406" i="1"/>
  <c r="AF406" i="1"/>
  <c r="AG407" i="1"/>
  <c r="AF415" i="1"/>
  <c r="AG416" i="1"/>
  <c r="AF225" i="1"/>
  <c r="AG226" i="1"/>
  <c r="AG306" i="1"/>
  <c r="AF305" i="1"/>
  <c r="AG237" i="1"/>
  <c r="AF236" i="1"/>
  <c r="AI284" i="1"/>
  <c r="AJ285" i="1"/>
  <c r="AF264" i="1"/>
  <c r="AG265" i="1"/>
  <c r="AG316" i="1"/>
  <c r="AF315" i="1"/>
  <c r="AI305" i="1"/>
  <c r="AJ306" i="1"/>
  <c r="AG275" i="1"/>
  <c r="AF274" i="1"/>
  <c r="AF245" i="1"/>
  <c r="AG246" i="1"/>
  <c r="AG295" i="1"/>
  <c r="AF294" i="1"/>
  <c r="AJ275" i="1"/>
  <c r="AI274" i="1"/>
  <c r="AI235" i="1"/>
  <c r="AJ236" i="1"/>
  <c r="AG286" i="1"/>
  <c r="AF285" i="1"/>
  <c r="AJ315" i="1"/>
  <c r="AI314" i="1"/>
  <c r="AI255" i="1"/>
  <c r="AJ256" i="1"/>
  <c r="AI215" i="1"/>
  <c r="AJ216" i="1"/>
  <c r="AJ267" i="1"/>
  <c r="AI266" i="1"/>
  <c r="AF154" i="1"/>
  <c r="AG155" i="1"/>
  <c r="AG176" i="1"/>
  <c r="AF175" i="1"/>
  <c r="AJ157" i="1"/>
  <c r="AI156" i="1"/>
  <c r="AI165" i="1"/>
  <c r="AJ166" i="1"/>
  <c r="AG165" i="1"/>
  <c r="AF164" i="1"/>
  <c r="AJ176" i="1"/>
  <c r="AI175" i="1"/>
  <c r="AG95" i="1"/>
  <c r="AF94" i="1"/>
  <c r="AF84" i="1"/>
  <c r="AG85" i="1"/>
  <c r="AI115" i="1"/>
  <c r="AJ116" i="1"/>
  <c r="AG75" i="1"/>
  <c r="AF74" i="1"/>
  <c r="AJ87" i="1"/>
  <c r="AI86" i="1"/>
  <c r="AJ97" i="1"/>
  <c r="AI96" i="1"/>
  <c r="AF105" i="1"/>
  <c r="AG106" i="1"/>
  <c r="AG116" i="1"/>
  <c r="AF115" i="1"/>
  <c r="AJ105" i="1"/>
  <c r="AI104" i="1"/>
  <c r="AI45" i="1"/>
  <c r="AJ46" i="1"/>
  <c r="AJ66" i="1"/>
  <c r="AI65" i="1"/>
  <c r="AG68" i="1"/>
  <c r="AF67" i="1"/>
  <c r="AF47" i="1"/>
  <c r="AG48" i="1"/>
  <c r="AG57" i="1"/>
  <c r="AF56" i="1"/>
  <c r="AI55" i="1"/>
  <c r="AJ56" i="1"/>
  <c r="AG37" i="1"/>
  <c r="AF36" i="1"/>
  <c r="AI35" i="1"/>
  <c r="AJ36" i="1"/>
  <c r="AF25" i="1"/>
  <c r="AG26" i="1"/>
  <c r="AJ25" i="1"/>
  <c r="AI24" i="1"/>
  <c r="AI15" i="1"/>
  <c r="AJ16" i="1"/>
  <c r="AJ17" i="1" s="1"/>
  <c r="AF15" i="1"/>
  <c r="AF325" i="1"/>
  <c r="AG326" i="1"/>
  <c r="AF255" i="1"/>
  <c r="AG256" i="1"/>
  <c r="AJ226" i="1"/>
  <c r="AI225" i="1"/>
  <c r="AF346" i="1"/>
  <c r="AG347" i="1"/>
  <c r="AG376" i="1"/>
  <c r="AF375" i="1"/>
  <c r="AI417" i="1"/>
  <c r="AJ418" i="1"/>
  <c r="AJ247" i="1"/>
  <c r="AI246" i="1"/>
  <c r="AJ386" i="1"/>
  <c r="AI385" i="1"/>
  <c r="AJ376" i="1"/>
  <c r="AI375" i="1"/>
  <c r="AJ397" i="1"/>
  <c r="AI396" i="1"/>
  <c r="AI335" i="1"/>
  <c r="AJ336" i="1"/>
  <c r="AI327" i="1"/>
  <c r="AJ328" i="1"/>
  <c r="AF125" i="1"/>
  <c r="AG126" i="1"/>
  <c r="AJ127" i="1"/>
  <c r="AI126" i="1"/>
  <c r="AF216" i="1"/>
  <c r="AG217" i="1"/>
  <c r="AF195" i="1"/>
  <c r="AG196" i="1"/>
  <c r="AG206" i="1"/>
  <c r="AF205" i="1"/>
  <c r="AG136" i="1"/>
  <c r="AF135" i="1"/>
  <c r="AI345" i="1"/>
  <c r="AJ346" i="1"/>
  <c r="AF335" i="1"/>
  <c r="AG336" i="1"/>
  <c r="AJ296" i="1"/>
  <c r="AI295" i="1"/>
  <c r="AJ76" i="1"/>
  <c r="AI75" i="1"/>
  <c r="AJ366" i="1"/>
  <c r="AI365" i="1"/>
  <c r="AF145" i="1"/>
  <c r="AG146" i="1"/>
  <c r="AG366" i="1"/>
  <c r="AF365" i="1"/>
  <c r="AF355" i="1"/>
  <c r="AG356" i="1"/>
  <c r="AI185" i="1"/>
  <c r="AJ186" i="1"/>
  <c r="AI145" i="1"/>
  <c r="AJ146" i="1"/>
  <c r="AG397" i="1"/>
  <c r="AF396" i="1"/>
  <c r="AF185" i="1"/>
  <c r="AG186" i="1"/>
  <c r="AI195" i="1"/>
  <c r="AJ196" i="1"/>
  <c r="AF386" i="1"/>
  <c r="AG387" i="1"/>
  <c r="AI135" i="1"/>
  <c r="AJ136" i="1"/>
  <c r="AI355" i="1"/>
  <c r="AJ356" i="1"/>
  <c r="AI207" i="1"/>
  <c r="AJ208" i="1"/>
  <c r="AF407" i="1"/>
  <c r="AG408" i="1"/>
  <c r="AF416" i="1"/>
  <c r="AG417" i="1"/>
  <c r="AI406" i="1"/>
  <c r="AJ407" i="1"/>
  <c r="AI306" i="1"/>
  <c r="AJ307" i="1"/>
  <c r="AF286" i="1"/>
  <c r="AG287" i="1"/>
  <c r="AI275" i="1"/>
  <c r="AJ276" i="1"/>
  <c r="AF237" i="1"/>
  <c r="AG238" i="1"/>
  <c r="AF306" i="1"/>
  <c r="AG307" i="1"/>
  <c r="AG247" i="1"/>
  <c r="AF246" i="1"/>
  <c r="AG266" i="1"/>
  <c r="AF265" i="1"/>
  <c r="AI216" i="1"/>
  <c r="AJ217" i="1"/>
  <c r="AI256" i="1"/>
  <c r="AJ257" i="1"/>
  <c r="AI236" i="1"/>
  <c r="AJ237" i="1"/>
  <c r="AI285" i="1"/>
  <c r="AJ286" i="1"/>
  <c r="AF226" i="1"/>
  <c r="AG227" i="1"/>
  <c r="AI267" i="1"/>
  <c r="AJ268" i="1"/>
  <c r="AJ316" i="1"/>
  <c r="AI315" i="1"/>
  <c r="AF295" i="1"/>
  <c r="AG296" i="1"/>
  <c r="AF275" i="1"/>
  <c r="AG276" i="1"/>
  <c r="AG317" i="1"/>
  <c r="AF316" i="1"/>
  <c r="AI166" i="1"/>
  <c r="AJ167" i="1"/>
  <c r="AJ177" i="1"/>
  <c r="AI176" i="1"/>
  <c r="AG177" i="1"/>
  <c r="AF176" i="1"/>
  <c r="AF155" i="1"/>
  <c r="AG156" i="1"/>
  <c r="AG166" i="1"/>
  <c r="AF165" i="1"/>
  <c r="AI157" i="1"/>
  <c r="AJ158" i="1"/>
  <c r="AF106" i="1"/>
  <c r="AG107" i="1"/>
  <c r="AG86" i="1"/>
  <c r="AF85" i="1"/>
  <c r="AF75" i="1"/>
  <c r="AG76" i="1"/>
  <c r="AJ117" i="1"/>
  <c r="AI116" i="1"/>
  <c r="AI105" i="1"/>
  <c r="AJ106" i="1"/>
  <c r="AI97" i="1"/>
  <c r="AJ98" i="1"/>
  <c r="AF116" i="1"/>
  <c r="AG117" i="1"/>
  <c r="AI87" i="1"/>
  <c r="AJ88" i="1"/>
  <c r="AF95" i="1"/>
  <c r="AG96" i="1"/>
  <c r="AF48" i="1"/>
  <c r="AG49" i="1"/>
  <c r="AJ47" i="1"/>
  <c r="AI46" i="1"/>
  <c r="AJ37" i="1"/>
  <c r="AI36" i="1"/>
  <c r="AJ57" i="1"/>
  <c r="AI56" i="1"/>
  <c r="AI66" i="1"/>
  <c r="AJ67" i="1"/>
  <c r="AF37" i="1"/>
  <c r="AG38" i="1"/>
  <c r="AF57" i="1"/>
  <c r="AG58" i="1"/>
  <c r="AG69" i="1"/>
  <c r="AF68" i="1"/>
  <c r="AG27" i="1"/>
  <c r="AF26" i="1"/>
  <c r="AI25" i="1"/>
  <c r="AJ26" i="1"/>
  <c r="AF326" i="1"/>
  <c r="AG327" i="1"/>
  <c r="AJ227" i="1"/>
  <c r="AI226" i="1"/>
  <c r="AF256" i="1"/>
  <c r="AG257" i="1"/>
  <c r="AF376" i="1"/>
  <c r="AG377" i="1"/>
  <c r="AG348" i="1"/>
  <c r="AF347" i="1"/>
  <c r="AG388" i="1"/>
  <c r="AF387" i="1"/>
  <c r="AF356" i="1"/>
  <c r="AG357" i="1"/>
  <c r="AG218" i="1"/>
  <c r="AF217" i="1"/>
  <c r="AJ337" i="1"/>
  <c r="AI336" i="1"/>
  <c r="AJ77" i="1"/>
  <c r="AI76" i="1"/>
  <c r="AG137" i="1"/>
  <c r="AF136" i="1"/>
  <c r="AJ377" i="1"/>
  <c r="AI376" i="1"/>
  <c r="AJ209" i="1"/>
  <c r="AI208" i="1"/>
  <c r="AJ137" i="1"/>
  <c r="AI136" i="1"/>
  <c r="AI196" i="1"/>
  <c r="AJ197" i="1"/>
  <c r="AI186" i="1"/>
  <c r="AJ187" i="1"/>
  <c r="AJ347" i="1"/>
  <c r="AI346" i="1"/>
  <c r="AG197" i="1"/>
  <c r="AF196" i="1"/>
  <c r="AJ329" i="1"/>
  <c r="AI328" i="1"/>
  <c r="AI418" i="1"/>
  <c r="AJ419" i="1"/>
  <c r="AI356" i="1"/>
  <c r="AJ357" i="1"/>
  <c r="AF186" i="1"/>
  <c r="AG187" i="1"/>
  <c r="AI146" i="1"/>
  <c r="AJ147" i="1"/>
  <c r="AF146" i="1"/>
  <c r="AG147" i="1"/>
  <c r="AG337" i="1"/>
  <c r="AF336" i="1"/>
  <c r="AG127" i="1"/>
  <c r="AF126" i="1"/>
  <c r="AG207" i="1"/>
  <c r="AF206" i="1"/>
  <c r="AI247" i="1"/>
  <c r="AJ248" i="1"/>
  <c r="AF397" i="1"/>
  <c r="AG398" i="1"/>
  <c r="AF366" i="1"/>
  <c r="AG367" i="1"/>
  <c r="AJ367" i="1"/>
  <c r="AI366" i="1"/>
  <c r="AJ297" i="1"/>
  <c r="AI296" i="1"/>
  <c r="AI127" i="1"/>
  <c r="AJ128" i="1"/>
  <c r="AI397" i="1"/>
  <c r="AJ398" i="1"/>
  <c r="AI386" i="1"/>
  <c r="AJ387" i="1"/>
  <c r="AF417" i="1"/>
  <c r="AG418" i="1"/>
  <c r="AJ408" i="1"/>
  <c r="AI407" i="1"/>
  <c r="AF408" i="1"/>
  <c r="AG409" i="1"/>
  <c r="AJ317" i="1"/>
  <c r="AI316" i="1"/>
  <c r="AG248" i="1"/>
  <c r="AF247" i="1"/>
  <c r="AI237" i="1"/>
  <c r="AJ238" i="1"/>
  <c r="AF238" i="1"/>
  <c r="AG239" i="1"/>
  <c r="AI307" i="1"/>
  <c r="AJ308" i="1"/>
  <c r="AF296" i="1"/>
  <c r="AG297" i="1"/>
  <c r="AI268" i="1"/>
  <c r="AJ269" i="1"/>
  <c r="AI286" i="1"/>
  <c r="AJ287" i="1"/>
  <c r="AI257" i="1"/>
  <c r="AJ258" i="1"/>
  <c r="AG308" i="1"/>
  <c r="AF307" i="1"/>
  <c r="AI276" i="1"/>
  <c r="AJ277" i="1"/>
  <c r="AG277" i="1"/>
  <c r="AF276" i="1"/>
  <c r="AG228" i="1"/>
  <c r="AF227" i="1"/>
  <c r="AJ218" i="1"/>
  <c r="AI217" i="1"/>
  <c r="AG288" i="1"/>
  <c r="AF287" i="1"/>
  <c r="AG318" i="1"/>
  <c r="AF317" i="1"/>
  <c r="AG267" i="1"/>
  <c r="AF266" i="1"/>
  <c r="AI158" i="1"/>
  <c r="AJ159" i="1"/>
  <c r="AG157" i="1"/>
  <c r="AF156" i="1"/>
  <c r="AI177" i="1"/>
  <c r="AJ178" i="1"/>
  <c r="AJ168" i="1"/>
  <c r="AI167" i="1"/>
  <c r="AF166" i="1"/>
  <c r="AG167" i="1"/>
  <c r="AG178" i="1"/>
  <c r="AF177" i="1"/>
  <c r="AF96" i="1"/>
  <c r="AG97" i="1"/>
  <c r="AJ99" i="1"/>
  <c r="AI98" i="1"/>
  <c r="AJ118" i="1"/>
  <c r="AI117" i="1"/>
  <c r="AF86" i="1"/>
  <c r="AG87" i="1"/>
  <c r="AI88" i="1"/>
  <c r="AJ89" i="1"/>
  <c r="AG118" i="1"/>
  <c r="AF117" i="1"/>
  <c r="AJ107" i="1"/>
  <c r="AI106" i="1"/>
  <c r="AF76" i="1"/>
  <c r="AG77" i="1"/>
  <c r="AF107" i="1"/>
  <c r="AG108" i="1"/>
  <c r="AF38" i="1"/>
  <c r="AG39" i="1"/>
  <c r="AG70" i="1"/>
  <c r="AF69" i="1"/>
  <c r="AI57" i="1"/>
  <c r="AJ58" i="1"/>
  <c r="AF58" i="1"/>
  <c r="AG59" i="1"/>
  <c r="AJ68" i="1"/>
  <c r="AI67" i="1"/>
  <c r="AG50" i="1"/>
  <c r="AF49" i="1"/>
  <c r="AI47" i="1"/>
  <c r="AJ48" i="1"/>
  <c r="AI37" i="1"/>
  <c r="AJ38" i="1"/>
  <c r="AJ27" i="1"/>
  <c r="AI26" i="1"/>
  <c r="AG28" i="1"/>
  <c r="AF27" i="1"/>
  <c r="AG328" i="1"/>
  <c r="AF327" i="1"/>
  <c r="AF257" i="1"/>
  <c r="AG258" i="1"/>
  <c r="AI227" i="1"/>
  <c r="AJ228" i="1"/>
  <c r="AG349" i="1"/>
  <c r="AF348" i="1"/>
  <c r="AG378" i="1"/>
  <c r="AF377" i="1"/>
  <c r="AG368" i="1"/>
  <c r="AF367" i="1"/>
  <c r="AJ249" i="1"/>
  <c r="AI248" i="1"/>
  <c r="AG148" i="1"/>
  <c r="AF147" i="1"/>
  <c r="AG188" i="1"/>
  <c r="AF187" i="1"/>
  <c r="AI419" i="1"/>
  <c r="AJ420" i="1"/>
  <c r="AJ188" i="1"/>
  <c r="AI187" i="1"/>
  <c r="AG358" i="1"/>
  <c r="AF357" i="1"/>
  <c r="AI297" i="1"/>
  <c r="AJ298" i="1"/>
  <c r="AG128" i="1"/>
  <c r="AF127" i="1"/>
  <c r="AI137" i="1"/>
  <c r="AJ138" i="1"/>
  <c r="AJ378" i="1"/>
  <c r="AI377" i="1"/>
  <c r="AI77" i="1"/>
  <c r="AJ78" i="1"/>
  <c r="AJ388" i="1"/>
  <c r="AI387" i="1"/>
  <c r="AJ129" i="1"/>
  <c r="AI128" i="1"/>
  <c r="AG399" i="1"/>
  <c r="AF398" i="1"/>
  <c r="AJ148" i="1"/>
  <c r="AI147" i="1"/>
  <c r="AJ358" i="1"/>
  <c r="AI357" i="1"/>
  <c r="AI197" i="1"/>
  <c r="AJ198" i="1"/>
  <c r="AJ399" i="1"/>
  <c r="AI398" i="1"/>
  <c r="AJ368" i="1"/>
  <c r="AI367" i="1"/>
  <c r="AF207" i="1"/>
  <c r="AG208" i="1"/>
  <c r="AF337" i="1"/>
  <c r="AG338" i="1"/>
  <c r="AI329" i="1"/>
  <c r="AJ330" i="1"/>
  <c r="AG198" i="1"/>
  <c r="AF197" i="1"/>
  <c r="AJ348" i="1"/>
  <c r="AI347" i="1"/>
  <c r="AJ210" i="1"/>
  <c r="AI209" i="1"/>
  <c r="AF137" i="1"/>
  <c r="AG138" i="1"/>
  <c r="AJ338" i="1"/>
  <c r="AI337" i="1"/>
  <c r="AF218" i="1"/>
  <c r="AG219" i="1"/>
  <c r="AF388" i="1"/>
  <c r="AG389" i="1"/>
  <c r="AI408" i="1"/>
  <c r="AJ409" i="1"/>
  <c r="AG410" i="1"/>
  <c r="AF409" i="1"/>
  <c r="AF418" i="1"/>
  <c r="AG419" i="1"/>
  <c r="AJ259" i="1"/>
  <c r="AI258" i="1"/>
  <c r="AI238" i="1"/>
  <c r="AJ239" i="1"/>
  <c r="AG268" i="1"/>
  <c r="AF267" i="1"/>
  <c r="AF288" i="1"/>
  <c r="AG289" i="1"/>
  <c r="AJ219" i="1"/>
  <c r="AI218" i="1"/>
  <c r="AF277" i="1"/>
  <c r="AG278" i="1"/>
  <c r="AF308" i="1"/>
  <c r="AG309" i="1"/>
  <c r="AJ318" i="1"/>
  <c r="AI317" i="1"/>
  <c r="AJ270" i="1"/>
  <c r="AI269" i="1"/>
  <c r="AJ278" i="1"/>
  <c r="AI277" i="1"/>
  <c r="AI287" i="1"/>
  <c r="AJ288" i="1"/>
  <c r="AF297" i="1"/>
  <c r="AG298" i="1"/>
  <c r="AF239" i="1"/>
  <c r="AG240" i="1"/>
  <c r="AJ309" i="1"/>
  <c r="AI308" i="1"/>
  <c r="AF318" i="1"/>
  <c r="AG319" i="1"/>
  <c r="AF228" i="1"/>
  <c r="AG229" i="1"/>
  <c r="AF248" i="1"/>
  <c r="AG249" i="1"/>
  <c r="AF178" i="1"/>
  <c r="AG179" i="1"/>
  <c r="AI168" i="1"/>
  <c r="AJ169" i="1"/>
  <c r="AG158" i="1"/>
  <c r="AF157" i="1"/>
  <c r="AG168" i="1"/>
  <c r="AF167" i="1"/>
  <c r="AJ179" i="1"/>
  <c r="AI178" i="1"/>
  <c r="AI159" i="1"/>
  <c r="AJ160" i="1"/>
  <c r="AF77" i="1"/>
  <c r="AG78" i="1"/>
  <c r="AG119" i="1"/>
  <c r="AF118" i="1"/>
  <c r="AI99" i="1"/>
  <c r="AJ100" i="1"/>
  <c r="AG109" i="1"/>
  <c r="AF108" i="1"/>
  <c r="AI89" i="1"/>
  <c r="AJ90" i="1"/>
  <c r="AF97" i="1"/>
  <c r="AG98" i="1"/>
  <c r="AG88" i="1"/>
  <c r="AF87" i="1"/>
  <c r="AJ108" i="1"/>
  <c r="AI107" i="1"/>
  <c r="AJ119" i="1"/>
  <c r="AI118" i="1"/>
  <c r="AG51" i="1"/>
  <c r="AF50" i="1"/>
  <c r="AF70" i="1"/>
  <c r="AG71" i="1"/>
  <c r="AJ49" i="1"/>
  <c r="AI48" i="1"/>
  <c r="AJ59" i="1"/>
  <c r="AI58" i="1"/>
  <c r="AG40" i="1"/>
  <c r="AF39" i="1"/>
  <c r="AJ39" i="1"/>
  <c r="AI38" i="1"/>
  <c r="AG60" i="1"/>
  <c r="AF59" i="1"/>
  <c r="AI68" i="1"/>
  <c r="AJ69" i="1"/>
  <c r="AF28" i="1"/>
  <c r="AG29" i="1"/>
  <c r="AI27" i="1"/>
  <c r="AJ28" i="1"/>
  <c r="AF328" i="1"/>
  <c r="AG329" i="1"/>
  <c r="AJ229" i="1"/>
  <c r="AI228" i="1"/>
  <c r="AG259" i="1"/>
  <c r="AF258" i="1"/>
  <c r="AF378" i="1"/>
  <c r="AG379" i="1"/>
  <c r="AG350" i="1"/>
  <c r="AF349" i="1"/>
  <c r="AF219" i="1"/>
  <c r="AG220" i="1"/>
  <c r="AF208" i="1"/>
  <c r="AG209" i="1"/>
  <c r="AI348" i="1"/>
  <c r="AJ349" i="1"/>
  <c r="AI399" i="1"/>
  <c r="AJ400" i="1"/>
  <c r="AJ359" i="1"/>
  <c r="AI358" i="1"/>
  <c r="AF399" i="1"/>
  <c r="AG400" i="1"/>
  <c r="AI388" i="1"/>
  <c r="AJ389" i="1"/>
  <c r="AI378" i="1"/>
  <c r="AJ379" i="1"/>
  <c r="AG189" i="1"/>
  <c r="AF188" i="1"/>
  <c r="AJ250" i="1"/>
  <c r="AI249" i="1"/>
  <c r="AF138" i="1"/>
  <c r="AG139" i="1"/>
  <c r="AJ331" i="1"/>
  <c r="AI330" i="1"/>
  <c r="AJ299" i="1"/>
  <c r="AI298" i="1"/>
  <c r="AG390" i="1"/>
  <c r="AF389" i="1"/>
  <c r="AF338" i="1"/>
  <c r="AG339" i="1"/>
  <c r="AJ199" i="1"/>
  <c r="AI198" i="1"/>
  <c r="AI78" i="1"/>
  <c r="AJ79" i="1"/>
  <c r="AJ139" i="1"/>
  <c r="AI138" i="1"/>
  <c r="AI420" i="1"/>
  <c r="AJ421" i="1"/>
  <c r="AI338" i="1"/>
  <c r="AJ339" i="1"/>
  <c r="AI210" i="1"/>
  <c r="AJ211" i="1"/>
  <c r="AF198" i="1"/>
  <c r="AG199" i="1"/>
  <c r="AI368" i="1"/>
  <c r="AJ369" i="1"/>
  <c r="AJ149" i="1"/>
  <c r="AI148" i="1"/>
  <c r="AI129" i="1"/>
  <c r="AJ130" i="1"/>
  <c r="AF128" i="1"/>
  <c r="AG129" i="1"/>
  <c r="AG359" i="1"/>
  <c r="AF358" i="1"/>
  <c r="AJ189" i="1"/>
  <c r="AI188" i="1"/>
  <c r="AF148" i="1"/>
  <c r="AG149" i="1"/>
  <c r="AF368" i="1"/>
  <c r="AG369" i="1"/>
  <c r="AF410" i="1"/>
  <c r="AG411" i="1"/>
  <c r="AF419" i="1"/>
  <c r="AG420" i="1"/>
  <c r="AI409" i="1"/>
  <c r="AJ410" i="1"/>
  <c r="AI270" i="1"/>
  <c r="AJ271" i="1"/>
  <c r="AJ319" i="1"/>
  <c r="AI318" i="1"/>
  <c r="AG230" i="1"/>
  <c r="AF229" i="1"/>
  <c r="AG241" i="1"/>
  <c r="AF240" i="1"/>
  <c r="AI288" i="1"/>
  <c r="AJ289" i="1"/>
  <c r="AJ240" i="1"/>
  <c r="AI239" i="1"/>
  <c r="AF249" i="1"/>
  <c r="AG250" i="1"/>
  <c r="AG299" i="1"/>
  <c r="AF298" i="1"/>
  <c r="AG310" i="1"/>
  <c r="AF309" i="1"/>
  <c r="AG320" i="1"/>
  <c r="AF319" i="1"/>
  <c r="AF278" i="1"/>
  <c r="AG279" i="1"/>
  <c r="AG290" i="1"/>
  <c r="AF289" i="1"/>
  <c r="AI309" i="1"/>
  <c r="AJ310" i="1"/>
  <c r="AJ279" i="1"/>
  <c r="AI278" i="1"/>
  <c r="AI219" i="1"/>
  <c r="AJ220" i="1"/>
  <c r="AG269" i="1"/>
  <c r="AF268" i="1"/>
  <c r="AI259" i="1"/>
  <c r="AJ260" i="1"/>
  <c r="AJ161" i="1"/>
  <c r="AI160" i="1"/>
  <c r="AI169" i="1"/>
  <c r="AJ170" i="1"/>
  <c r="AG169" i="1"/>
  <c r="AF168" i="1"/>
  <c r="AG180" i="1"/>
  <c r="AF179" i="1"/>
  <c r="AJ180" i="1"/>
  <c r="AI179" i="1"/>
  <c r="AF158" i="1"/>
  <c r="AG159" i="1"/>
  <c r="AG99" i="1"/>
  <c r="AF98" i="1"/>
  <c r="AI119" i="1"/>
  <c r="AJ120" i="1"/>
  <c r="AF109" i="1"/>
  <c r="AG110" i="1"/>
  <c r="AJ91" i="1"/>
  <c r="AI90" i="1"/>
  <c r="AJ101" i="1"/>
  <c r="AI100" i="1"/>
  <c r="AG79" i="1"/>
  <c r="AF78" i="1"/>
  <c r="AG120" i="1"/>
  <c r="AF119" i="1"/>
  <c r="AJ109" i="1"/>
  <c r="AI108" i="1"/>
  <c r="AF88" i="1"/>
  <c r="AG89" i="1"/>
  <c r="AJ70" i="1"/>
  <c r="AI69" i="1"/>
  <c r="AI39" i="1"/>
  <c r="AJ40" i="1"/>
  <c r="AF71" i="1"/>
  <c r="AH62" i="1"/>
  <c r="AL62" i="1"/>
  <c r="AI59" i="1"/>
  <c r="AJ60" i="1"/>
  <c r="AG61" i="1"/>
  <c r="AF60" i="1"/>
  <c r="AG41" i="1"/>
  <c r="AF40" i="1"/>
  <c r="AI49" i="1"/>
  <c r="AJ50" i="1"/>
  <c r="AF51" i="1"/>
  <c r="AH42" i="1"/>
  <c r="AL42" i="1"/>
  <c r="AJ29" i="1"/>
  <c r="AI28" i="1"/>
  <c r="AF29" i="1"/>
  <c r="AG30" i="1"/>
  <c r="AG330" i="1"/>
  <c r="AF329" i="1"/>
  <c r="AG260" i="1"/>
  <c r="AF259" i="1"/>
  <c r="AJ230" i="1"/>
  <c r="AI229" i="1"/>
  <c r="AG380" i="1"/>
  <c r="AF379" i="1"/>
  <c r="AG351" i="1"/>
  <c r="AF350" i="1"/>
  <c r="AF149" i="1"/>
  <c r="AG150" i="1"/>
  <c r="AJ131" i="1"/>
  <c r="AI130" i="1"/>
  <c r="AK412" i="1"/>
  <c r="AM412" i="1"/>
  <c r="AI421" i="1"/>
  <c r="AF139" i="1"/>
  <c r="AG140" i="1"/>
  <c r="AJ401" i="1"/>
  <c r="AI400" i="1"/>
  <c r="AF359" i="1"/>
  <c r="AG360" i="1"/>
  <c r="AI299" i="1"/>
  <c r="AJ300" i="1"/>
  <c r="AF189" i="1"/>
  <c r="AG190" i="1"/>
  <c r="AG340" i="1"/>
  <c r="AF339" i="1"/>
  <c r="AF209" i="1"/>
  <c r="AG210" i="1"/>
  <c r="AG370" i="1"/>
  <c r="AF369" i="1"/>
  <c r="AF129" i="1"/>
  <c r="AG130" i="1"/>
  <c r="AF199" i="1"/>
  <c r="AG200" i="1"/>
  <c r="AI339" i="1"/>
  <c r="AJ340" i="1"/>
  <c r="AJ390" i="1"/>
  <c r="AI389" i="1"/>
  <c r="AI349" i="1"/>
  <c r="AJ350" i="1"/>
  <c r="AF220" i="1"/>
  <c r="AG221" i="1"/>
  <c r="AJ370" i="1"/>
  <c r="AI369" i="1"/>
  <c r="AK202" i="1"/>
  <c r="AM202" i="1"/>
  <c r="AI211" i="1"/>
  <c r="AI79" i="1"/>
  <c r="AJ80" i="1"/>
  <c r="AJ380" i="1"/>
  <c r="AI379" i="1"/>
  <c r="AF400" i="1"/>
  <c r="AG401" i="1"/>
  <c r="AI189" i="1"/>
  <c r="AJ190" i="1"/>
  <c r="AI149" i="1"/>
  <c r="AJ150" i="1"/>
  <c r="AI139" i="1"/>
  <c r="AJ140" i="1"/>
  <c r="AI199" i="1"/>
  <c r="AJ200" i="1"/>
  <c r="AF390" i="1"/>
  <c r="AG391" i="1"/>
  <c r="AI331" i="1"/>
  <c r="AK322" i="1"/>
  <c r="AM322" i="1"/>
  <c r="AJ251" i="1"/>
  <c r="AI250" i="1"/>
  <c r="AI359" i="1"/>
  <c r="AJ360" i="1"/>
  <c r="AF420" i="1"/>
  <c r="AG421" i="1"/>
  <c r="AI410" i="1"/>
  <c r="AJ411" i="1"/>
  <c r="AF411" i="1"/>
  <c r="AH402" i="1"/>
  <c r="AL402" i="1"/>
  <c r="AI279" i="1"/>
  <c r="AJ280" i="1"/>
  <c r="AF290" i="1"/>
  <c r="AG291" i="1"/>
  <c r="AG251" i="1"/>
  <c r="AF250" i="1"/>
  <c r="AI220" i="1"/>
  <c r="AJ221" i="1"/>
  <c r="AF279" i="1"/>
  <c r="AG280" i="1"/>
  <c r="AF230" i="1"/>
  <c r="AG231" i="1"/>
  <c r="AJ320" i="1"/>
  <c r="AI319" i="1"/>
  <c r="AF310" i="1"/>
  <c r="AG311" i="1"/>
  <c r="AI271" i="1"/>
  <c r="AK262" i="1"/>
  <c r="AM262" i="1"/>
  <c r="AG270" i="1"/>
  <c r="AF269" i="1"/>
  <c r="AG321" i="1"/>
  <c r="AF320" i="1"/>
  <c r="AI289" i="1"/>
  <c r="AJ290" i="1"/>
  <c r="AI260" i="1"/>
  <c r="AJ261" i="1"/>
  <c r="AI310" i="1"/>
  <c r="AJ311" i="1"/>
  <c r="AF299" i="1"/>
  <c r="AG300" i="1"/>
  <c r="AI240" i="1"/>
  <c r="AJ241" i="1"/>
  <c r="AH232" i="1"/>
  <c r="AL232" i="1"/>
  <c r="AF241" i="1"/>
  <c r="AF159" i="1"/>
  <c r="AG160" i="1"/>
  <c r="AI170" i="1"/>
  <c r="AJ171" i="1"/>
  <c r="AG181" i="1"/>
  <c r="AF180" i="1"/>
  <c r="AJ181" i="1"/>
  <c r="AI180" i="1"/>
  <c r="AG170" i="1"/>
  <c r="AF169" i="1"/>
  <c r="AI161" i="1"/>
  <c r="AK152" i="1"/>
  <c r="AM152" i="1"/>
  <c r="AJ121" i="1"/>
  <c r="AI120" i="1"/>
  <c r="AF120" i="1"/>
  <c r="AG121" i="1"/>
  <c r="AI91" i="1"/>
  <c r="AK82" i="1"/>
  <c r="AM82" i="1"/>
  <c r="AG90" i="1"/>
  <c r="AF89" i="1"/>
  <c r="AF79" i="1"/>
  <c r="AG80" i="1"/>
  <c r="AF110" i="1"/>
  <c r="AG111" i="1"/>
  <c r="AI109" i="1"/>
  <c r="AJ110" i="1"/>
  <c r="AI101" i="1"/>
  <c r="AK92" i="1"/>
  <c r="AM92" i="1"/>
  <c r="AF99" i="1"/>
  <c r="AG100" i="1"/>
  <c r="AJ61" i="1"/>
  <c r="AI60" i="1"/>
  <c r="AJ41" i="1"/>
  <c r="AI40" i="1"/>
  <c r="AF41" i="1"/>
  <c r="AH32" i="1"/>
  <c r="AL32" i="1"/>
  <c r="AJ51" i="1"/>
  <c r="AI50" i="1"/>
  <c r="AF61" i="1"/>
  <c r="AH52" i="1"/>
  <c r="AL52" i="1"/>
  <c r="AI70" i="1"/>
  <c r="AJ71" i="1"/>
  <c r="AG31" i="1"/>
  <c r="AF30" i="1"/>
  <c r="AI29" i="1"/>
  <c r="AJ30" i="1"/>
  <c r="AF330" i="1"/>
  <c r="AG331" i="1"/>
  <c r="AJ231" i="1"/>
  <c r="AI230" i="1"/>
  <c r="AG261" i="1"/>
  <c r="AF260" i="1"/>
  <c r="AF351" i="1"/>
  <c r="AH342" i="1"/>
  <c r="AL342" i="1"/>
  <c r="AG381" i="1"/>
  <c r="AF380" i="1"/>
  <c r="AI360" i="1"/>
  <c r="AJ361" i="1"/>
  <c r="AJ141" i="1"/>
  <c r="AI140" i="1"/>
  <c r="AF190" i="1"/>
  <c r="AG191" i="1"/>
  <c r="AK242" i="1"/>
  <c r="AM242" i="1"/>
  <c r="AI251" i="1"/>
  <c r="AI190" i="1"/>
  <c r="AJ191" i="1"/>
  <c r="AF221" i="1"/>
  <c r="AH212" i="1"/>
  <c r="AL212" i="1"/>
  <c r="AG201" i="1"/>
  <c r="AF200" i="1"/>
  <c r="AI131" i="1"/>
  <c r="AK122" i="1"/>
  <c r="AM122" i="1"/>
  <c r="AF391" i="1"/>
  <c r="AH382" i="1"/>
  <c r="AL382" i="1"/>
  <c r="AJ371" i="1"/>
  <c r="AI370" i="1"/>
  <c r="AF360" i="1"/>
  <c r="AG361" i="1"/>
  <c r="AG141" i="1"/>
  <c r="AF140" i="1"/>
  <c r="AI200" i="1"/>
  <c r="AJ201" i="1"/>
  <c r="AJ381" i="1"/>
  <c r="AI380" i="1"/>
  <c r="AI390" i="1"/>
  <c r="AJ391" i="1"/>
  <c r="AF370" i="1"/>
  <c r="AG371" i="1"/>
  <c r="AF340" i="1"/>
  <c r="AG341" i="1"/>
  <c r="AJ301" i="1"/>
  <c r="AI300" i="1"/>
  <c r="AF150" i="1"/>
  <c r="AG151" i="1"/>
  <c r="AI150" i="1"/>
  <c r="AJ151" i="1"/>
  <c r="AH392" i="1"/>
  <c r="AL392" i="1"/>
  <c r="AF401" i="1"/>
  <c r="AI80" i="1"/>
  <c r="AJ81" i="1"/>
  <c r="AI350" i="1"/>
  <c r="AJ351" i="1"/>
  <c r="AJ341" i="1"/>
  <c r="AI340" i="1"/>
  <c r="AG131" i="1"/>
  <c r="AF130" i="1"/>
  <c r="AG211" i="1"/>
  <c r="AF210" i="1"/>
  <c r="AK392" i="1"/>
  <c r="AM392" i="1"/>
  <c r="AI401" i="1"/>
  <c r="AH412" i="1"/>
  <c r="AL412" i="1"/>
  <c r="AN412" i="1"/>
  <c r="AP412" i="1"/>
  <c r="AO412" i="1"/>
  <c r="AF421" i="1"/>
  <c r="AK402" i="1"/>
  <c r="AM402" i="1"/>
  <c r="AN402" i="1"/>
  <c r="AP402" i="1"/>
  <c r="AO402" i="1"/>
  <c r="AI411" i="1"/>
  <c r="AG281" i="1"/>
  <c r="AF280" i="1"/>
  <c r="AF321" i="1"/>
  <c r="AH312" i="1"/>
  <c r="AL312" i="1"/>
  <c r="AJ321" i="1"/>
  <c r="AI320" i="1"/>
  <c r="AK212" i="1"/>
  <c r="AM212" i="1"/>
  <c r="AI221" i="1"/>
  <c r="AH282" i="1"/>
  <c r="AL282" i="1"/>
  <c r="AF291" i="1"/>
  <c r="AF300" i="1"/>
  <c r="AG301" i="1"/>
  <c r="AI311" i="1"/>
  <c r="AK302" i="1"/>
  <c r="AM302" i="1"/>
  <c r="AI290" i="1"/>
  <c r="AJ291" i="1"/>
  <c r="AF311" i="1"/>
  <c r="AH302" i="1"/>
  <c r="AL302" i="1"/>
  <c r="AN302" i="1"/>
  <c r="AP302" i="1"/>
  <c r="AO302" i="1"/>
  <c r="AF231" i="1"/>
  <c r="AH222" i="1"/>
  <c r="AL222" i="1"/>
  <c r="AI280" i="1"/>
  <c r="AJ281" i="1"/>
  <c r="AK232" i="1"/>
  <c r="AM232" i="1"/>
  <c r="AI241" i="1"/>
  <c r="AI261" i="1"/>
  <c r="AK252" i="1"/>
  <c r="AM252" i="1"/>
  <c r="AN232" i="1"/>
  <c r="AP232" i="1"/>
  <c r="AO232" i="1"/>
  <c r="AG271" i="1"/>
  <c r="AF270" i="1"/>
  <c r="AH242" i="1"/>
  <c r="AL242" i="1"/>
  <c r="AF251" i="1"/>
  <c r="AI171" i="1"/>
  <c r="AK162" i="1"/>
  <c r="AM162" i="1"/>
  <c r="AI181" i="1"/>
  <c r="AK172" i="1"/>
  <c r="AM172" i="1"/>
  <c r="AG161" i="1"/>
  <c r="AF160" i="1"/>
  <c r="AF170" i="1"/>
  <c r="AG171" i="1"/>
  <c r="AF181" i="1"/>
  <c r="AH172" i="1"/>
  <c r="AL172" i="1"/>
  <c r="AF100" i="1"/>
  <c r="AG101" i="1"/>
  <c r="AF111" i="1"/>
  <c r="AH102" i="1"/>
  <c r="AL102" i="1"/>
  <c r="AF80" i="1"/>
  <c r="AG81" i="1"/>
  <c r="AF121" i="1"/>
  <c r="AH112" i="1"/>
  <c r="AL112" i="1"/>
  <c r="AF90" i="1"/>
  <c r="AG91" i="1"/>
  <c r="AJ111" i="1"/>
  <c r="AI110" i="1"/>
  <c r="AI121" i="1"/>
  <c r="AK112" i="1"/>
  <c r="AM112" i="1"/>
  <c r="AI61" i="1"/>
  <c r="AK52" i="1"/>
  <c r="AM52" i="1"/>
  <c r="AN52" i="1"/>
  <c r="AP52" i="1"/>
  <c r="AO52" i="1"/>
  <c r="AI71" i="1"/>
  <c r="AK62" i="1"/>
  <c r="AM62" i="1"/>
  <c r="AN62" i="1"/>
  <c r="AP62" i="1"/>
  <c r="AO62" i="1"/>
  <c r="AI51" i="1"/>
  <c r="AK42" i="1"/>
  <c r="AM42" i="1"/>
  <c r="AN42" i="1"/>
  <c r="AP42" i="1"/>
  <c r="AO42" i="1"/>
  <c r="AI41" i="1"/>
  <c r="AK32" i="1"/>
  <c r="AM32" i="1"/>
  <c r="AN32" i="1"/>
  <c r="AP32" i="1"/>
  <c r="AO32" i="1"/>
  <c r="AJ31" i="1"/>
  <c r="AI30" i="1"/>
  <c r="AF31" i="1"/>
  <c r="AH22" i="1"/>
  <c r="AL22" i="1"/>
  <c r="AN112" i="1"/>
  <c r="AP112" i="1"/>
  <c r="AO112" i="1"/>
  <c r="AH322" i="1"/>
  <c r="AL322" i="1"/>
  <c r="AN322" i="1"/>
  <c r="AP322" i="1"/>
  <c r="AO322" i="1"/>
  <c r="AF331" i="1"/>
  <c r="AN172" i="1"/>
  <c r="AP172" i="1"/>
  <c r="AO172" i="1"/>
  <c r="AF261" i="1"/>
  <c r="AH252" i="1"/>
  <c r="AL252" i="1"/>
  <c r="AN252" i="1"/>
  <c r="AP252" i="1"/>
  <c r="AO252" i="1"/>
  <c r="AI231" i="1"/>
  <c r="AK222" i="1"/>
  <c r="AM222" i="1"/>
  <c r="AN222" i="1"/>
  <c r="AP222" i="1"/>
  <c r="AO222" i="1"/>
  <c r="AH372" i="1"/>
  <c r="AL372" i="1"/>
  <c r="AF381" i="1"/>
  <c r="AN242" i="1"/>
  <c r="AP242" i="1"/>
  <c r="AO242" i="1"/>
  <c r="AK142" i="1"/>
  <c r="AM142" i="1"/>
  <c r="AI151" i="1"/>
  <c r="AH362" i="1"/>
  <c r="AL362" i="1"/>
  <c r="AF371" i="1"/>
  <c r="AF211" i="1"/>
  <c r="AH202" i="1"/>
  <c r="AL202" i="1"/>
  <c r="AN202" i="1"/>
  <c r="AP202" i="1"/>
  <c r="AO202" i="1"/>
  <c r="AK332" i="1"/>
  <c r="AM332" i="1"/>
  <c r="AI341" i="1"/>
  <c r="AK292" i="1"/>
  <c r="AM292" i="1"/>
  <c r="AI301" i="1"/>
  <c r="AI381" i="1"/>
  <c r="AK372" i="1"/>
  <c r="AM372" i="1"/>
  <c r="AF141" i="1"/>
  <c r="AH132" i="1"/>
  <c r="AL132" i="1"/>
  <c r="AI371" i="1"/>
  <c r="AK362" i="1"/>
  <c r="AM362" i="1"/>
  <c r="AI141" i="1"/>
  <c r="AK132" i="1"/>
  <c r="AM132" i="1"/>
  <c r="AI81" i="1"/>
  <c r="AK72" i="1"/>
  <c r="AM72" i="1"/>
  <c r="AK342" i="1"/>
  <c r="AM342" i="1"/>
  <c r="AN342" i="1"/>
  <c r="AP342" i="1"/>
  <c r="AO342" i="1"/>
  <c r="AI351" i="1"/>
  <c r="AF151" i="1"/>
  <c r="AH142" i="1"/>
  <c r="AL142" i="1"/>
  <c r="AF341" i="1"/>
  <c r="AH332" i="1"/>
  <c r="AL332" i="1"/>
  <c r="AI391" i="1"/>
  <c r="AK382" i="1"/>
  <c r="AM382" i="1"/>
  <c r="AN382" i="1"/>
  <c r="AP382" i="1"/>
  <c r="AO382" i="1"/>
  <c r="AK192" i="1"/>
  <c r="AM192" i="1"/>
  <c r="AI201" i="1"/>
  <c r="AF361" i="1"/>
  <c r="AH352" i="1"/>
  <c r="AL352" i="1"/>
  <c r="AK182" i="1"/>
  <c r="AM182" i="1"/>
  <c r="AI191" i="1"/>
  <c r="AF191" i="1"/>
  <c r="AH182" i="1"/>
  <c r="AL182" i="1"/>
  <c r="AK352" i="1"/>
  <c r="AM352" i="1"/>
  <c r="AI361" i="1"/>
  <c r="AN212" i="1"/>
  <c r="AP212" i="1"/>
  <c r="AO212" i="1"/>
  <c r="AF131" i="1"/>
  <c r="AH122" i="1"/>
  <c r="AL122" i="1"/>
  <c r="AN122" i="1"/>
  <c r="AP122" i="1"/>
  <c r="AO122" i="1"/>
  <c r="AN392" i="1"/>
  <c r="AP392" i="1"/>
  <c r="AO392" i="1"/>
  <c r="AF201" i="1"/>
  <c r="AH192" i="1"/>
  <c r="AL192" i="1"/>
  <c r="AK272" i="1"/>
  <c r="AM272" i="1"/>
  <c r="AI281" i="1"/>
  <c r="AI321" i="1"/>
  <c r="AK312" i="1"/>
  <c r="AM312" i="1"/>
  <c r="AN312" i="1"/>
  <c r="AP312" i="1"/>
  <c r="AO312" i="1"/>
  <c r="AF281" i="1"/>
  <c r="AH272" i="1"/>
  <c r="AL272" i="1"/>
  <c r="AF271" i="1"/>
  <c r="AH262" i="1"/>
  <c r="AL262" i="1"/>
  <c r="AN262" i="1"/>
  <c r="AP262" i="1"/>
  <c r="AO262" i="1"/>
  <c r="AI291" i="1"/>
  <c r="AK282" i="1"/>
  <c r="AM282" i="1"/>
  <c r="AN282" i="1"/>
  <c r="AP282" i="1"/>
  <c r="AO282" i="1"/>
  <c r="AF301" i="1"/>
  <c r="AH292" i="1"/>
  <c r="AL292" i="1"/>
  <c r="AF171" i="1"/>
  <c r="AH162" i="1"/>
  <c r="AL162" i="1"/>
  <c r="AN162" i="1"/>
  <c r="AP162" i="1"/>
  <c r="AO162" i="1"/>
  <c r="AH152" i="1"/>
  <c r="AL152" i="1"/>
  <c r="AN152" i="1"/>
  <c r="AP152" i="1"/>
  <c r="AO152" i="1"/>
  <c r="AF161" i="1"/>
  <c r="AH82" i="1"/>
  <c r="AL82" i="1"/>
  <c r="AN82" i="1"/>
  <c r="AP82" i="1"/>
  <c r="AO82" i="1"/>
  <c r="AF91" i="1"/>
  <c r="AF101" i="1"/>
  <c r="AH92" i="1"/>
  <c r="AL92" i="1"/>
  <c r="AN92" i="1"/>
  <c r="AP92" i="1"/>
  <c r="AO92" i="1"/>
  <c r="AI111" i="1"/>
  <c r="AK102" i="1"/>
  <c r="AM102" i="1"/>
  <c r="AN102" i="1"/>
  <c r="AP102" i="1"/>
  <c r="AO102" i="1"/>
  <c r="AF81" i="1"/>
  <c r="AH72" i="1"/>
  <c r="AL72" i="1"/>
  <c r="AK22" i="1"/>
  <c r="AM22" i="1"/>
  <c r="AN22" i="1"/>
  <c r="AP22" i="1"/>
  <c r="AO22" i="1"/>
  <c r="AI31" i="1"/>
  <c r="AN332" i="1"/>
  <c r="AP332" i="1"/>
  <c r="AO332" i="1"/>
  <c r="AN372" i="1"/>
  <c r="AP372" i="1"/>
  <c r="AO372" i="1"/>
  <c r="AN142" i="1"/>
  <c r="AP142" i="1"/>
  <c r="AO142" i="1"/>
  <c r="AN292" i="1"/>
  <c r="AP292" i="1"/>
  <c r="AO292" i="1"/>
  <c r="AN192" i="1"/>
  <c r="AP192" i="1"/>
  <c r="AO192" i="1"/>
  <c r="AN352" i="1"/>
  <c r="AP352" i="1"/>
  <c r="AO352" i="1"/>
  <c r="AN272" i="1"/>
  <c r="AP272" i="1"/>
  <c r="AO272" i="1"/>
  <c r="AN362" i="1"/>
  <c r="AP362" i="1"/>
  <c r="AO362" i="1"/>
  <c r="AN72" i="1"/>
  <c r="AP72" i="1"/>
  <c r="AO72" i="1"/>
  <c r="AN132" i="1"/>
  <c r="AP132" i="1"/>
  <c r="AO132" i="1"/>
  <c r="AN182" i="1"/>
  <c r="AP182" i="1"/>
  <c r="AO182" i="1"/>
  <c r="AJ18" i="1" l="1"/>
  <c r="AI17" i="1"/>
  <c r="AI16" i="1"/>
  <c r="AG17" i="1"/>
  <c r="AF16" i="1"/>
  <c r="AI18" i="1" l="1"/>
  <c r="AJ19" i="1"/>
  <c r="AG18" i="1"/>
  <c r="AF17" i="1"/>
  <c r="AJ20" i="1" l="1"/>
  <c r="AI19" i="1"/>
  <c r="AF18" i="1"/>
  <c r="AG19" i="1"/>
  <c r="AI20" i="1" l="1"/>
  <c r="AJ21" i="1"/>
  <c r="AF19" i="1"/>
  <c r="AG20" i="1"/>
  <c r="AI21" i="1" l="1"/>
  <c r="AK12" i="1"/>
  <c r="AM12" i="1" s="1"/>
  <c r="AF20" i="1"/>
  <c r="AG21" i="1"/>
  <c r="AH12" i="1" l="1"/>
  <c r="AL12" i="1" s="1"/>
  <c r="AN12" i="1" s="1"/>
  <c r="AP12" i="1" s="1"/>
  <c r="AO12" i="1" s="1"/>
  <c r="AF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<sst xmlns="http://schemas.openxmlformats.org/spreadsheetml/2006/main" count="5630" uniqueCount="1119">
  <si>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</si>
  <si>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</si>
  <si>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</si>
  <si>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</si>
  <si>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</si>
  <si>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</si>
  <si>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</si>
  <si>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</si>
  <si>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</si>
  <si>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</si>
  <si>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</si>
  <si>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</si>
  <si>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</si>
  <si>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</si>
  <si>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</si>
  <si>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</si>
  <si>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</si>
  <si>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</si>
  <si>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</si>
  <si>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</si>
  <si>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</si>
  <si>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</si>
  <si>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</si>
  <si>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</si>
  <si>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</si>
  <si>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</si>
  <si>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</si>
  <si>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</si>
  <si>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</si>
  <si>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</si>
  <si>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</si>
  <si>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</si>
  <si>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</si>
  <si>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</si>
  <si>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</si>
  <si>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</si>
  <si>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</si>
  <si>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</si>
  <si>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</si>
  <si>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</si>
  <si>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</si>
  <si>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</si>
  <si>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</si>
  <si>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</si>
  <si>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</si>
  <si>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</si>
  <si>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</si>
  <si>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</si>
  <si>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</si>
  <si>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</si>
  <si>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</si>
  <si>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</si>
  <si>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</si>
  <si>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</si>
  <si>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</si>
  <si>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</si>
  <si>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</si>
  <si>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</si>
  <si>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</si>
  <si>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</si>
  <si>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</si>
  <si>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</si>
  <si>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</si>
  <si>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</si>
  <si>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</si>
  <si>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</si>
  <si>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</si>
  <si>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</si>
  <si>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</si>
  <si>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</si>
  <si>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</si>
  <si>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</si>
  <si>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</si>
  <si>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</si>
  <si>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</si>
  <si>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</si>
  <si>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</si>
  <si>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</si>
  <si>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</si>
  <si>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</si>
  <si>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</si>
  <si>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</si>
  <si>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</si>
  <si>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</si>
  <si>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</si>
  <si>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</si>
  <si>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</si>
  <si>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</si>
  <si>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</si>
  <si>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</si>
  <si>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</si>
  <si>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</si>
  <si>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</si>
  <si>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</si>
  <si>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</si>
  <si>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</si>
  <si>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</si>
  <si>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</si>
  <si>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</si>
  <si>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</si>
  <si>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</si>
  <si>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</si>
  <si>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</si>
  <si>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</si>
  <si>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</si>
  <si>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</si>
  <si>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</si>
  <si>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</si>
  <si>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</si>
  <si>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</si>
  <si>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</si>
  <si>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</si>
  <si>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</si>
  <si>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</si>
  <si>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</si>
  <si>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</si>
  <si>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</si>
  <si>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ENERO 2025</t>
  </si>
  <si>
    <t xml:space="preserve">2025 - Mapa de Riesgos consolidado (Gestión, Fiscales y Seguridad de la Información) </t>
  </si>
  <si>
    <r>
      <t>Clasificación de la Información</t>
    </r>
    <r>
      <rPr>
        <sz val="8"/>
        <color theme="1"/>
        <rFont val="Arial"/>
        <family val="2"/>
      </rPr>
      <t xml:space="preserve">: Publica  </t>
    </r>
    <r>
      <rPr>
        <sz val="8"/>
        <color theme="1"/>
        <rFont val="Segoe UI Symbol"/>
        <family val="2"/>
      </rPr>
      <t>☒</t>
    </r>
    <r>
      <rPr>
        <sz val="8"/>
        <color theme="1"/>
        <rFont val="Arial"/>
        <family val="2"/>
      </rPr>
      <t xml:space="preserve"> Reservada  </t>
    </r>
    <r>
      <rPr>
        <sz val="8"/>
        <color theme="1"/>
        <rFont val="MS Gothic"/>
        <family val="3"/>
      </rPr>
      <t>☐</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</si>
  <si>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</si>
  <si>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</si>
  <si>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</si>
  <si>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</si>
  <si>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</si>
  <si>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</si>
  <si>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</si>
  <si>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Valoración del control</t>
  </si>
  <si>
    <t>Evaluación del riesgo por control</t>
  </si>
  <si>
    <t>Calificación Riesgo Residual</t>
  </si>
  <si>
    <t>Tipo de Proceso</t>
  </si>
  <si>
    <t>Proceso</t>
  </si>
  <si>
    <t xml:space="preserve">No. de Riesgo </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</si>
  <si>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</si>
  <si>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</si>
  <si>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</si>
  <si>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</si>
  <si>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</si>
  <si>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</si>
  <si>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</si>
  <si>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</si>
  <si>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</si>
  <si>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</si>
  <si>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</si>
  <si>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</si>
  <si>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</si>
  <si>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</si>
  <si>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</si>
  <si>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</si>
  <si>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</si>
  <si>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</si>
  <si>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</si>
  <si>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Final</t>
  </si>
  <si>
    <t>Impacto Final</t>
  </si>
  <si>
    <t>Zona de Riesgo Residual</t>
  </si>
  <si>
    <t>¿Requiere Plan de Tratamiento?</t>
  </si>
  <si>
    <t>Opción de tratamiento posible según el nivel de Riesgo</t>
  </si>
  <si>
    <t>Medida de tratamiento u opciones de manejo</t>
  </si>
  <si>
    <t>Acción de Tratamiento del riesgo - basado en el análisis de causas</t>
  </si>
  <si>
    <t>Tipo</t>
  </si>
  <si>
    <t>Afectación</t>
  </si>
  <si>
    <t>Calificación</t>
  </si>
  <si>
    <t>ESTRATÉGICO</t>
  </si>
  <si>
    <t>SE-RG-1</t>
  </si>
  <si>
    <t>Posibilidad de ejecución insegura de actividades en materia de seguridad, por desconocimiento y/o Incumplimiento de los lineamientos del proceso de Prevención y Gestión de Seguridad. Debido a la gestión inadecuada de las instancias y mecanismos de coordinación con Fuerza Publica y demás entidades en materia de seguridad.</t>
  </si>
  <si>
    <t>Por desconocimiento y/o Incumplimiento de los lineamientos del proceso de Prevención y Gestión de Seguridad.</t>
  </si>
  <si>
    <t>debido a la gestión inadecuada de las instancias y mecanismos de coordinación con Fuerza Publica y demás entidades en materia de seguridad.</t>
  </si>
  <si>
    <t xml:space="preserve">Incumplimiento de la Ley (articulo 32 parágrafo 1 ley 1448, prorrogada por la ley 2078 de 2021) en el cumplimiento de los mecanismos de articulación generados por el Ministerio de Defensa, Ministerio de Interior, Ministerio de Agricultura bajo la gestión de la UAEGRTD para brindar seguridad en el antes, durante y después en el proceso de restitución. 
Desarrollo inseguro de la operación de la Unidad, en las zonas donde se ejecute el proceso de restitución de tierras. </t>
  </si>
  <si>
    <t>Afectación_Económica_y_Reputacional</t>
  </si>
  <si>
    <t>La actividad que conlleva el riesgo se ejecuta mínimo 500 veces al año y máximo 5.000 veces por año</t>
  </si>
  <si>
    <t>El riesgo afecta la imagen de la entidad a nivel nacional, con efecto publicitario sostenido a nivel país</t>
  </si>
  <si>
    <t>C1</t>
  </si>
  <si>
    <t>El Profesional de Prevención y Gestión de Seguridad en la Dirección Territorial, cada vez que se requiera (mensual, bimensual o trimestralmente, con el propósito de contar con los insumos de seguridad necesarios en el planeamiento, ejecución  y seguimiento de la política de restitución de tierras, en cada una de las zonas a intervenirm, debe verificar las condiciones de seguridad de los municipios no microfocalizados total o parcialmente, así como el monitoreo y seguimiento de las condiciones de seguridad en los municipios intervenidos, a través de la participación en la instancia interinstitucional de coordinación Centro Integrado de Inteligencia para la Restitución de Tierras (CI2RT). De no participar en las sesiones del CI2RT como instancia para verificar las condiciones de seguridad necesarios en el planeamiento, ejecución  y seguimiento de la política de restitución de tierras, en cada una de las zonas a intervenir, la dirección territorial debe aritucular con la Secretaría Técnica del CI2RT ejercida por la Policía Nacional, para que sean efectuadas las convocatorias. La evidencia de la ejecución de este control es el formato.</t>
  </si>
  <si>
    <t>Socializaciones y/o difusión de los lineamientos de seguridad en el marco del proceso de Prevención y Gestión de seguridad a funcionarios y contratistas de la UAEGRTD.</t>
  </si>
  <si>
    <t>C2</t>
  </si>
  <si>
    <t>La Directora o Director Territorial Cada vez que se requiera (Bimensual, trimestral o semestralmente), con el propósito de efectuar la coordinación operativa para la articulación, implementación, planeación, ejecución y seguimiento al proceso de restitución de tierras con base en los insumos de seguridad suministrados por el CI2RT, que permitan la intervención de la UAEGRTD o que puedan afectar el cumplimiento de su misión institucional. Debe realizar los Comités Operativos Locales para la Restitución y Formalización de Tierras (COLR), para ello la convocatoria se debe efectuar mediante oficio, empleando el modelo , y verificar el diligenciamiento del formato  donde queda registro del objetivo, intervenciones, conclusiones y compromisos derivados de la sesión. En caso de no realizarse los COLR, se convocará una nueva sesión.  La evidencia de la ejecución de este control es el formato
Nota: El Acta del COLR tiene carácter de reserva.</t>
  </si>
  <si>
    <t>Actualización de los lineamientos del proceso (cuando aplique)</t>
  </si>
  <si>
    <t>MAPA DE CALOR RIESGO INHERENTE</t>
  </si>
  <si>
    <t>IMPACTO</t>
  </si>
  <si>
    <t>PROBABILIDAD</t>
  </si>
  <si>
    <t>C3</t>
  </si>
  <si>
    <t>La Directora o Director Territorial y el profesional de Prevención y Gestión de Seguridad en la Dirección Territorial, cada vez que se convoque a reunión de coordinación con la Fuerza Pública, con el propósito de concertar los modelos de acompañamiento por parte de la Fuerza Pública a las salidas a terreno programadas por la Unidad de Restitución de Tierras. Debe realizar la reunión de coordinación de acompañamientos con la Fuerza Pública, para ello la convocatoria se debe efectuar mediante oficio empleando el modelo , a su vez, durante la reunión debe validar que sea empleado el formato, donde queda registro de los modelos de acompañamientos concertados, generando el Acta de Reunion en el formato  y posterior a la reunión, se debe remitir el oficio de notificación de acompañamientos empleando el modelo . Si surgen salidas a terreno no coordinadas en la reunión con la Fuerza Pública, se deberá convocar e incluir dichas salidas en una nueva reunión de coordinación de acompañamientos con la Fuerza Pública. La evidencia de la ejecución de este control es el formato.
Nota: El Acta de la reunión de coordinación tiene carácter de reserva.</t>
  </si>
  <si>
    <t>Realizar el análisis de la situación presentada para identificar la causa, para así remitir a las instancias competentes (según aplique) el reporte de la situación ocurrida y puesta en conocimiento, para que se evalúe su incidencia disciplinaria o  de cualquier otra naturaleza a que haya lugar.</t>
  </si>
  <si>
    <t>Nivel</t>
  </si>
  <si>
    <t>% Impacto</t>
  </si>
  <si>
    <t>Afectación_Económica</t>
  </si>
  <si>
    <t>Reputacional</t>
  </si>
  <si>
    <t>Frecuencia de la Actividad</t>
  </si>
  <si>
    <t>Mínimo</t>
  </si>
  <si>
    <t>Máximo</t>
  </si>
  <si>
    <t>C4</t>
  </si>
  <si>
    <t>El profesional del proceso de Prevención y Gestión de Seguridad en las Direcciones Territoriales y en el Nivel Central, cada vez que se de el visto bueno a través del aplicativo SIVICO a las comisiones de naturaleza a terreno donde sea cargado el formato, con el propósito de hacer seguimiento y monitoreo a las salidas a terreno con fines de prevención y seguridad. Debe verificar que la matriz de programación, ejecución y seguimiento de salidas a terreno, sea actualizada de acuerdo al procedimiento , con la información registrada en el formato. De no contar con la información actualizada, el profesional de seguridad C4 del nivel central solicitará el registro inmediato de la información en la Matriz de programación, ejecución y seguimiento de salidas a terreno. La evidencia de la ejecución de este control es el formato.</t>
  </si>
  <si>
    <t>IMPAC</t>
  </si>
  <si>
    <t>Leve</t>
  </si>
  <si>
    <t>Menor a 10 SMLMV</t>
  </si>
  <si>
    <t>El riesgo afecta la imagen de algún área de la organización.</t>
  </si>
  <si>
    <t>Muy Baja</t>
  </si>
  <si>
    <t>La actividad que conlleva el riesgo se ejecuta como máximos 2 veces por año</t>
  </si>
  <si>
    <t>C5</t>
  </si>
  <si>
    <t>El profesional del proceso de Prevención y Gestión de Seguridad en las Direcciones Territoriales y en el Nivel Central, cada vez que se presente un caso de emergencia durante las salidas a terreno.  Con el propósito de mitigar el riesgo de afectación a la vida e integridad de los funcionarios o colaboradores de la Unidad de Restitución de Tierras.  Debe verificar la implementación de las acciones de acuerdo a lo estipulado en el  XXX y el procedimiento XXX. En caso de no aplicar estos lineamientos, se puede presentar afectación a la vida e integridad de los funcionarios o colaboradores de la Unidad de Restitución de Tierras, por lo que permanentemente se debe efectuar inducciones y reinducciones al personal que sale a terreno en materia de prevención, protección y seguridad. La evidencia de la ejecución de este control es el formato.</t>
  </si>
  <si>
    <t>PROB</t>
  </si>
  <si>
    <t>Menor</t>
  </si>
  <si>
    <t>Mayor</t>
  </si>
  <si>
    <t>Catastrófico</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</si>
  <si>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</si>
  <si>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</si>
  <si>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</si>
  <si>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</si>
  <si>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</si>
  <si>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 xml:space="preserve">El profesional de Prevención y Gestión de Seguridad en el Nivel Central, cada vez que se active la ruta de protección por parte de las Direcciones Territoriales en relación al tramite de incidentes y de solicitud de medidas de protección por parte de reclamantes de tierras, otros intervinientes en la restitución o servidores de la Unidad de Restitución de Tierras, con el propósito de mitigar la posible afectación a la vida e integridad por amenazas e intimidaciones contra reclamantes de tierras y funcionarios intervinientes en procesos de restitución de tierras. Debe validar que sea tramitado ante la Unidad Nacional de Protección, los reportes de incidentes de amenaza y las solicitudes de protección efectuados por reclamantes de tierras, otros intervinientes en la restitución o servidores de la Unidad de Restitución de Tierras, acatando las orientaciones del procedimiento. De no tramitarse la solicitud de medidas de protección o el reporte de incidentes de amenaza, se podría presentar una posible afectación a la vida e integridad de los reclamantes de tierras, otros intervinientes en la restitución o servidores de la Unidad de Restitución de Tierras. La evidencia de la ejecución de este control es el cuadro estadístico con la relación de las solicitudes de protección tramitadas ante la UNP.
Nota: la información específica relacionada es de carácter reservado con base en lo establecido en el Decreto 1066 de 2015. </t>
  </si>
  <si>
    <t>Muy Alta</t>
  </si>
  <si>
    <t>Entre 50 y 100 SMLMV</t>
  </si>
  <si>
    <t>El riesgo afecta la imagen de la entidad con algunos usuarios de relevancia frente al logro de los objetivos.</t>
  </si>
  <si>
    <t>Media</t>
  </si>
  <si>
    <t>La actividad que conlleva el riesgo se ejecuta de 24 a 500 veces por año</t>
  </si>
  <si>
    <t>C7</t>
  </si>
  <si>
    <t>El profesional de Prevención y Gestión de Seguridad en el Nivel Central, cada vez que sea cargada información por parte la Oficina del Comisionado (a) Adjunto para la Acción Integral Contra Minas AICMA, con el propósito de que las Direcciones Territoriales a través del profesional catastral,  puedan contar con información disponible en relación con sospecha de afectación por Accidentes e Incidentes de Minas Antipersonal MAP/Munición sin Explotar (MUSE) y/o Artefactos Explosivos Improvisados (AEI) en el áreas susceptibles a microfocalizar y las áreas de actual intervención, según datos remitidos por la Oficina del Comisionado (a) Adjunto para la Acción Integral Contra Minas (AICMA), a través del Grupo Gestión en Prevención, Protección y Seguridad. Debe validar que sea actualizada la información en la herramienta periférica administrada por la AICMA (www.accioncontraminas.gov.co), relacionada con zonas donde interviene o proyecta intervenir la Unidad, de acuerdo al procedimiento SE-PR-03 "Georreferenciación de riesgos de seguridad para la Restitución de Tierras". La información disponible está sujeta al cargue de los reportes por la AICMA. La evidencia de la ejecución de este control son los correos electrónicos y/o reporte donde se evidencie el cargue y actualización de la información.</t>
  </si>
  <si>
    <t>Alta</t>
  </si>
  <si>
    <t>Entre 100 y 500 SMLMV</t>
  </si>
  <si>
    <t>El riesgo afecta la imagen de la entidad con efecto publicitario sostenido a nivel de sector administrativo, nivel departamental o municipal.</t>
  </si>
  <si>
    <t>C8</t>
  </si>
  <si>
    <t>Mayor a 500 SMLMV</t>
  </si>
  <si>
    <t>La actividad que conlleva el riesgo se ejecuta más de 5.000 veces por año</t>
  </si>
  <si>
    <t>C9</t>
  </si>
  <si>
    <t>C10</t>
  </si>
  <si>
    <t>SE-RSI-2</t>
  </si>
  <si>
    <t>Posibilidad de pérdida de la confidencialidad, integridad y disponibilidad de la información que reposa en las carpetas compartidas del nivel territorial Grupo GPPS Territorial, Grupo C4 Territorial y del nivel central Seguridad y Prevención, así como en la plataforma cartográfica web (visor geográfico), por acceso no autorizado que generaría el uso indebido de la información reservada relacionada con la gestión de condiciones de seguridad y los reportes de ubicación generados por los dispositivos de localización satelital.</t>
  </si>
  <si>
    <t>por acceso no autorizado</t>
  </si>
  <si>
    <t>Debido al cambio de los responsables que no se actualicen en las carpetas compartidas del nivel territorial Grupo GPPS Territorial, Grupo C4 Territorial y del nivel central Seguridad y Prevención, así como en la plataforma cartográfica web (visor geográfico)</t>
  </si>
  <si>
    <t>que generaría el uso indebido de la información reservada relacionada con la gestión de condiciones de seguridad y los reportes de ubicación generados por los dispositivos de localización satelital.</t>
  </si>
  <si>
    <t>El profesional de Prevención y Gestión de Seguridad en el Nivel Central, semestralmente con el propósito de mitigar la perdida y/o filtración de la información sometida a reserva y de los reportes de ubicación generados por los dispositivos de localización satelital, debe verificar que las personas con acceso a las carpetas compartidas del nivel territorial Grupo GPPS Territorial, Grupo C4 Territorial y del nivel central Seguridad y Prevención donde se encuentra la información relacionada con la gestión de condiciones de seguridad, así como en la plataforma cartográfica web (visor geográfico) donde se visualizan los reportes de ubicación generados por los dispositivos de localización satelital, sean las autorizadas por el Coordinador del Grupo de Gestión de Prevención, Protección y Seguridad. En caso de encontrarse usuarios no autorizados con acceso a las carpetas compartidas en red o en la plataforma cartográfica web (visor geográfico), se debe solicitar la eliminación de los permisos, ante la Oficina de Tecnologías de la Información o ante el C4 como administrador de la Plataforma cartográfica. La evidencia de la ejecución de este control son el GLPI con el requerimiento a la Oficina de Tecnologías de la Información adjuntando el listado de usuarios con acceso habilitado por parte del coordinador del GPPS en las carpetas compartidas y en la Plataforma cartográfica, el reporte de los usuarios con acceso a las Carpetas en red con acceso restringido suministrado por la Oficina de Tecnologías de la Información y reporte de los usuarios con acceso a la plataforma cartográfica con acceso restringido generado por el C4.
Control asociado a la ISO 27002: (9.2.5)</t>
  </si>
  <si>
    <t>Socializaciones y/o difusión del uso, reserva de la información y/o cambios en la plataforma cartográfica web (visor geográfico)</t>
  </si>
  <si>
    <t>Solicitar la copia de seguridad o recuperación de la información de la (s) carpeta (s) compartida (s) en red, teniendo en cuenta el procedimiento GT-PR-23 COPIAS DE RESPALDO DE INFORMACIÓN EN SERVIDORES</t>
  </si>
  <si>
    <t>Remitir a las instancias competentes el reporte de la situación ocurrida y puesta en conocimiento, para que se evalúe su incidencia disciplinaria o  de cualquier otra naturaleza a que haya lugar; teniendo en cuenta la GT-ES-03 POLÍTICA DE GESTION DE INCIDENTES DE SEGURIDAD DE LA INFORMACIÓN</t>
  </si>
  <si>
    <t>AI-RG-1</t>
  </si>
  <si>
    <t>Posibilidad de  incumplimiento de los planes de trabajo, acuerdos y compromisos establecidos en las mesas de articulación internas de la Unidad puede generar un impacto significativo en la coordinación interinstitucional, retrasos en la ejecución de políticas públicas y estrategias socio-territoriales, así como la pérdida de confianza de las partes interesadas y beneficiarios; esto se debe a causas inmediatas como la falta de seguimiento oportuno a los compromisos adquiridos  que radica en deficiencias en los mecanismos de planificación, gestión y monitoreo.</t>
  </si>
  <si>
    <t>Falta de seguimiento oportuno a los compromisos adquiridos en las mesas de articulación.</t>
  </si>
  <si>
    <t>Deficiencias en los mecanismos de planificación, gestión y monitoreo de los acuerdos establecidos.</t>
  </si>
  <si>
    <t>Ninguna</t>
  </si>
  <si>
    <t>Solicitar mediante correo electrónico el estado de avance de los acuerdos y compromisos establecidos en las mesas de articulación internas de la Unidad, con cinco (5) días de antelación al siguiente espacio convocado, con el fin de monitorear avances, resultados y/o cuellos de botella que afecten el cumplimiento de los mismos y así identificar acciones para impulsar su logro.</t>
  </si>
  <si>
    <t>Socializar a las entidades integrantes de cada mesa técnicas de trabajo al menos una (1) vez en el año el reglamento y modo de operación de la misma.</t>
  </si>
  <si>
    <t>Reiterar el acuerdo y compromiso establecidos en las mesas de articulación internas de la Unidad en la sesión en la cual se requería su cumplimiento.</t>
  </si>
  <si>
    <t>En caso de no contar con avanvace o un avance mínimo en comparación a la proyección de cumplimiento, se revisará de manera conjunta en la siguiente mesa las causas y cuellos de botella que han afectado el cumplimiento del compromiso.</t>
  </si>
  <si>
    <t>AI-RG-2</t>
  </si>
  <si>
    <t>Posibilidad de  incumplimiento de los planes de trabajo, acuerdos y compromisos establecidos en el Subcomité Nacional de Restitución de Tierras y los subcomités departamentales, donde la UAEGRTD tiene la Secretaría Técnica compartida con la UARIV, podría generar un impacto negativo en la ejecución de las políticas de restitución, retrasos en los procesos de reparación y afectación a la confianza de las víctimas y actores clave; esto se debe a causas inmediatas como la falta de coordinación efectiva entre las entidades responsables y limitado seguimiento a las decisiones tomadas, cuya causa raíz radica en la ausencia de un sistema de gobernanza claramente definido y mecanismos de monitoreo y evaluación de los compromisos adquiridos en estos espacios.</t>
  </si>
  <si>
    <t>Falta de coordinación efectiva entre las entidades responsables y limitado seguimiento a las decisiones tomadas</t>
  </si>
  <si>
    <t>Ausencia de un sistema de gobernanza claramente definido y mecanismos de monitoreo y evaluación de los compromisos adquiridos en estos espacios.</t>
  </si>
  <si>
    <t>Solicitar mediante correo electrónico el estado de avance de los acuerdos y compromisos establecidos en en el Subcomité Nacional de Restitución de Tierras  y los subcomités departamentales de restitución de tierras en los cuales la UAEGRTD tenga la Secretaría Técnica compartida con la UARIV, con cinco (5) días de antelación al siguiente espacio convocado, con el fin de monitorear avances, resultados y/o cuellos de botella que afecten el cumplimiento de los mismos y así identificar acciones para impulsar su logro.</t>
  </si>
  <si>
    <t>Socializar a las entidades integrantes de cada subcomité al menos una (1) vez en el año el reglamento y modo de operación del mismo.</t>
  </si>
  <si>
    <t>Reiterar el acuerdo y compromiso establecidos en las sesiones de subcomité (nacional - departamental)  en la cual se requería su cumplimiento.</t>
  </si>
  <si>
    <t>AI-RG-3</t>
  </si>
  <si>
    <t>Posibilidad de Incumplimiento de los planes de trabajo definidos, lo que puede generar retrasos en la ejecución de objetivos estratégicos y una disminución en la confianza entre las partes involucradas, debido a la falta de seguimiento adecuado a los acuerdos y compromisos establecidos en los mecanismos de articulación, por la ausencia de un sistema integral de gestión y monitoreo que permita evaluar de manera oportuna el avance de las actividades pactadas.</t>
  </si>
  <si>
    <t>Falta de seguimiento adecuado a los acuerdos y compromisos establecidos en los mecanismos de articulación</t>
  </si>
  <si>
    <t>Ausencia de un sistema integral de gestión y monitoreo que permita evaluar de manera oportuna el avance de las actividades pactadas.</t>
  </si>
  <si>
    <t>Realizar mesas de seguimiento a la ejecución de los planes de trabajo y evaluación al cumplimiento de los compromisos en el marco de los acuerdos, convenios, cartas de entendimiento, instrucciones conjuntas y demás mecanismos de articulación.</t>
  </si>
  <si>
    <t>Reiterar el acuerdo y/o compromiso establecido en las mesas de seguimiento a los acuerdos, convenios, cartas de entendimiento, instrucciones conjuntas y demás mecanismos de articulación.</t>
  </si>
  <si>
    <t>AI-RSI-4</t>
  </si>
  <si>
    <t>Posibilidad de perdida de la integridad de la información en el micrositio del proceso Articulación Interinstitucional disponible en la Intranet de la Unidad de Restitución de Tierras, debido a borrado o cambios de la información contenida en los servidores por un cambio no autorizado, acción involuntaria o alteración del sistema en beneficio personal o de terceros.</t>
  </si>
  <si>
    <t>Borrado o cambios de la información contenida en los servidores</t>
  </si>
  <si>
    <t xml:space="preserve"> Cambio no autorizado, acción involuntaria o alteración del sistema en beneficio personal o de terceros.</t>
  </si>
  <si>
    <t xml:space="preserve">
GT-IN-04 ADMINISTRACION DE USUARIOS EN EL DIRECTORIO ACTIVO Solicitar  a la OTI mediante GLPI del /la Subdirector(a) General, los permisos para webmaster de la dependencia.</t>
  </si>
  <si>
    <t>Registrar la incidencia en GLPI con Urgencia: Muy Alta y Categoría: Servicio No Disponible, para que la OTI ejecute el documento  GT-PR-24 CONTINUIDAD DE NEGOCIO - ACTIVAR CONTINGENCIA SERVICIOS CRITICOS para la información del SRTDAF.</t>
  </si>
  <si>
    <t>GT-ES-16 PROGRAMA DE SENSIBILIZACION Y CAPACITACION TI</t>
  </si>
  <si>
    <t>Registrar la incidencia en GLPI con Urgencia: Muy Alta y Categoría: Servicio No Disponible, para que la OTI ejecute el documento GT-PR-23 COPIAS DE SEGURIDAD Y RESPALDO DE INFORMACION EN SERVIDORES para la información del SRTDAF.</t>
  </si>
  <si>
    <t>CO-RG-1</t>
  </si>
  <si>
    <t xml:space="preserve">
Posibilidad de afectación reputacional y económica debido a retrasos en la gestión de las solicitudes enviadas por los enlaces territoriales a la Oficina Asesora de Comunicaciones para la publicación de edictos en el marco del proceso judicial de restitución de tierras, según lo establecido en la Ley 1448 de 2011.
Por retrasos durante la revisión y el envío del enlace de las solicitudes para la publicación de los edictos, lo que afecta la eficacia del proceso,  ocasionadas por la falta de apropiación del lineamiento interno que regula de manera eficiente la gestión de las solicitudes de publicación de edictos.</t>
  </si>
  <si>
    <t xml:space="preserve">
Por retrasos durante la revisión y el envío del enlace de las solicitudes para la publicación de los edictos, lo que afecta la eficacia del proceso.</t>
  </si>
  <si>
    <t>ocasionadas por la falta de apropiación del lineamiento interno que regula de manera eficiente la gestión de las solicitudes de publicación de edictos..</t>
  </si>
  <si>
    <t xml:space="preserve">
El profesional de la OAC lleva a cabo diariamente la identificación del estado de las solicitudes de publicación de edictos en tiempo real. Este proceso se gestiona de manera centralizada a través de una base de datos estructurada en Excel, la cual permite registrar y monitorear en tiempo real  el estado de las solicitudes enviadas por cada dirección territorial, garantizando así su trazabilidad y cumplimiento oportuno.
En caso de detectar alguna solicitud pendiente de gestión, se toman las acciones correspondientes para asegurar su publicación.
Como evidencia de este control, se genera una Matriz de Seguimiento que respalda el proceso.
</t>
  </si>
  <si>
    <t>Elaborar y  difundir una  infografía con los lineamientos establecidos en el protocolo RT-JU-PT-02, facilitando su consulta y aplicación.</t>
  </si>
  <si>
    <t xml:space="preserve">Se realiza mesa de trabajo con el Director territorial y el enlace de Edictos, para revisar las causas del retraso en la solicitud y subsanarlas </t>
  </si>
  <si>
    <t>CO-RG-2</t>
  </si>
  <si>
    <t xml:space="preserve">
Posible afectación reputacional de la Unidad, el Director o los directivos, derivada de la publicación de contenidos sin la validación interna adecuada, 
por la falta de apropiación y conocimiento de los lineamientos de Comunicación Externa por parte de funcionarios, servidores públicos y contratistas de la entidad. </t>
  </si>
  <si>
    <t xml:space="preserve">Por falta de validación interna previa a la publicación de contenidos en los canales externos de difusión. 
</t>
  </si>
  <si>
    <t xml:space="preserve">
Falta de apropiación y conocimiento de los lineamientos de Comunicación Interna por parte de funcionarios, servidores públicos y contratistas de la entidad.</t>
  </si>
  <si>
    <t xml:space="preserve">El Líder de Comunicación digital y el community manager diariamente, validan la veracidad de la información antes de su publicación en los canales externos de la entidad: pagina web.
Los profesionales de comunicaciones de las Direcciones Territoriales y Nivel central, realizan el envió de la información a publicar dependiendo el canal de divulgación se realiza lo siguiente:
- Boletines: 1) Revisión por parte del Enlace designado al proceso y a la DT. 2) Revisión y corrección de estilo por parte del profesional de nivel central de la OAC. 3.) aprobación por parte de la Jefe de la OAC. 4) Publicación a través de la pagina web. 5) Envió a medios de comunicación. 
En caso de identificar información no veraz durante la revisión, el profesional de la OAC del nivel central, se encarga de solicitar aclaración y complementación a las otras áreas y al solicitante.  
Como evidencia del control se genera los correos electrónicos.
Pagina web: https://www.restituciondetierras.gov.co/web/guest/histórico-de-noticias
</t>
  </si>
  <si>
    <t>Actualización de los documentos CO-PR-07</t>
  </si>
  <si>
    <t>El Líder de Comunicación digital y el community manager diariamente, validan la veracidad de la información antes de su publicación en los canales externos de la entidad, incluidos:  redes sociales.
Los profesionales de comunicaciones de las Direcciones Territoriales y Nivel central, realizan el envió de la información a publicar dependiendo el canal de divulgación se realiza lo siguiente:
-Publicaciones Redes sociales: 1) Revisión por parte del Enlace designado al proceso y a la DT 2). Community manager revisa el material audiovisual. 3.) aprobación por parte de la Jefe de la OAC 4.) Publicación en las RRSS.
En caso de identificar información no veraz durante la revisión, el profesional de la OAC del nivel central, se encarga de solicitar aclaración y complementación a las otras áreas y al solicitante.  
Como evidencia del control es el Monitoreo de las redes sociales</t>
  </si>
  <si>
    <t>Se realiza una estrategia de comunicación que incluye boletines, piezas informativas, ruedas de prensa.</t>
  </si>
  <si>
    <t>CO-RG-3</t>
  </si>
  <si>
    <t xml:space="preserve">
Posible afectación reputacional derivada de la publicación de  información que no cumplan con las directrices establecidos por el proceso,  
por la falta de apropiación y conocimiento de los lineamientos de Comunicación Interna por parte de funcionarios, servidores públicos y contratistas de la entidad. 
</t>
  </si>
  <si>
    <t>derivada de la publicación de difundir  información que no cumplan con las directrices establecidos por el proceso</t>
  </si>
  <si>
    <t xml:space="preserve">por la falta de apropiación y conocimiento de los lineamientos de Comunicación Interna por parte de funcionarios, servidores públicos y contratistas de la entidad. </t>
  </si>
  <si>
    <t>El Líder de comunicación Interna/ diseñadora Grafica diariamente, valida la veracidad de la información antes de su publicación en los canales internos  de la entidad, incluidos: carteleras, Mailyng, entre otros.
Para ello, se realiza lo siguiente:
1) Revisión por parte de los profesionales de la OAC de la solicitud remitida por el proceso. 
2). Se realizan ajustes de corrección y estilo. 
3.)Elaboración de la pieza
4.) Validación del proceso que remite la solicitud. 
5) Difusión en los canales internos.
Todo esto en el marco del los lineamientos establecidos documento CO-IN- 01 Divulgación de documentos. 
De identificar  por parte de los profesionales de la OAC, información que no cumpla con los lineamientos establecidos se da la  aplicación de medidas correctivas inmediatas. 
Como evidencia de la ejecución del control son los correos electrónicos de las solicitudes</t>
  </si>
  <si>
    <t xml:space="preserve">Socialización de CO-MA-02 MANUAL DE IMAGEN INSTITUCIONAL </t>
  </si>
  <si>
    <t xml:space="preserve">Realizar revisión de la difusión de información interna </t>
  </si>
  <si>
    <t xml:space="preserve">Se remite alerta por correo electrónico a la jefe del área o dependencia. Adicionalmente, se programa reunión para subsanar la situación y explicar los lineamientos de comunicación interna </t>
  </si>
  <si>
    <t>CO-RSI-4</t>
  </si>
  <si>
    <t xml:space="preserve">
Posibilidad de pérdida de confidencialidad e integridad de las claves institucionales para administrar las redes sociales, por  accesos o manipulaciones no autorizadas. 
Por falta de actualización y verificación de los usuarios y perfiles que tienen acceso a las redes sociales.</t>
  </si>
  <si>
    <t xml:space="preserve">
 por  accesos o manipulaciones no autorizadas</t>
  </si>
  <si>
    <t xml:space="preserve">
Falta de actualización y verificación de los usuarios y perfiles que tienen acceso a las redes sociales.</t>
  </si>
  <si>
    <t>Los profesionales de la OAC, exclusivamente el perfil de community manager y el rol de publicador, tienen acceso a las claves con un autenticador de Google, diariamente Verifican los accesos a las plataformas de gestión de redes sociales. 
Los profesionales de la OAC, exclusivamente el perfil de community manager y el rol de publicador, realizan el proceso de autenticación al ingresar a las redes
Este proceso incluye revisar los permisos asignados a los responsables con el perfil de Community Manager y el rol de publicador, quienes cuentan con acceso a las claves mediante un autenticador de Google.
En caso de desviaciones o ingresos no autorizados, se procede a cambiar la clave de acceso. 
La evidencia del control es: 
Autenticador
Como evidencia del control, se utiliza el registro del Autenticador.
Pantallazos de los usuarios con los permisos</t>
  </si>
  <si>
    <t xml:space="preserve">Cambio periódico de las contraseñas de acceso a las redes sociales </t>
  </si>
  <si>
    <t xml:space="preserve">Cada vez que se presente una materialización, sobre la afectación en los accesos  notificar a la OTI. </t>
  </si>
  <si>
    <t>CO-RSI-5</t>
  </si>
  <si>
    <t>Posibilidad de pérdida de integridad de archivos digitales o audiovisuales.</t>
  </si>
  <si>
    <t>Por prácticas inadecuadas de almacenamiento, falta de respaldo adecuado</t>
  </si>
  <si>
    <t>Debido al desconocimiento de los lineamientos internos lo que aumenta la probabilidad de que los archivos no se manejen de manera segura,  ocasionando su pérdida o accesos no autorizados, comprometiendo la integridad de la información institucional.</t>
  </si>
  <si>
    <t>El líder del proceso de OAC cuatrimestralmente, garantiza el almacenamiento del material audiovisual generado por la OAC, para conservar la memoria institucional. Realiza la solicitud a la Oficina de Tecnologías de la Información del backup del material audiovisual almacenado en los servidores dispuestos para tal fin. 
En caso de desviaciones se realiza el reporte con la alerta a la OTI para tomar las medidas correctivas. 
Como evidencia se genera el correo electrónico o GLPI</t>
  </si>
  <si>
    <t>R5</t>
  </si>
  <si>
    <t xml:space="preserve">Realizar verificaciones trimestrales de los registros que se enmarcan en los lineamientos. </t>
  </si>
  <si>
    <t>Realizar mesa de trabajo con la OTI para establecer los lineamientos de almacenamiento del material audiovisual producido por la OAC</t>
  </si>
  <si>
    <t>PE-RG-1</t>
  </si>
  <si>
    <t>Posibilidad de asesorar y acompañar la formulación de la planeación institucional sin considerar los compromisos externos debido a la falta de comunicación sobre los compromisos asumidos en escenarios externos. Por la subutilización de los espacios, roles, instancias y herramientas oficiales destinados a informar y articular la planeación.</t>
  </si>
  <si>
    <t>debido a la falta de comunicación sobre los compromisos asumidos en escenarios externos</t>
  </si>
  <si>
    <t>Por la subutilización de los espacios, roles, instancias y herramientas oficiales destinados a informar y articular la planeación.</t>
  </si>
  <si>
    <t xml:space="preserve">No lograr el cumplimiento de los compromisos externos por 
Aumento rezago de requisitos externos. 
Posibles investigaciones disciplinarias.
No desarrollar los compromisos externos dentro del Plan Estrategico Institucional
No lograr la apropiación de los compromisos externos
Incumplir la politica de planeación institucional </t>
  </si>
  <si>
    <t xml:space="preserve">Profesional de Direccionamiento anualmente en la ultima sesión del CIGD de cada vigencia  revisan y aprueban el plan de acción y planes institucionales,  teniendo en cuenta la presentación y documento enviado por parte del Equipo de DE, para así poder dar cumplimiento a lo establecido en el art. 74 de la Ley 1474 de 2011. En caso de desviaciones los integrantes del Comité presentan sus observaciones para que se realicen los ajustes respectivos. Como evidencia de este control se presentan las actas de comité Institucional de Gestión y Desempeño. </t>
  </si>
  <si>
    <t>Dar a conocer a lo procesos los compromisos a mediano y largo plazo a través de piezas informativas</t>
  </si>
  <si>
    <r>
      <t xml:space="preserve">El profesional de Direccionamiento Estratégico anualmente actualiza y divulga la herramienta para dar a conocer a los procesos los compromisos que se deben tener en cuenta  en la formulación de la planeación institucional, esta herramienta se publica en la intranet y se realizan sesiones con los formuladores de la planeación institucional. </t>
    </r>
    <r>
      <rPr>
        <sz val="11"/>
        <rFont val="Arial"/>
        <family val="2"/>
      </rPr>
      <t>En caso de desviaciones se utiliza otro medio para dar a conocer los lineamientos frente a la formulación. C</t>
    </r>
    <r>
      <rPr>
        <sz val="11"/>
        <color rgb="FF000000"/>
        <rFont val="Arial"/>
        <family val="2"/>
      </rPr>
      <t>omo evidencia de este control se tiene la herramienta publicada en la intranet.</t>
    </r>
  </si>
  <si>
    <t xml:space="preserve">Revisión y ajuste al plan de acción </t>
  </si>
  <si>
    <r>
      <t xml:space="preserve">El profesional de Direccionamiento Estratégico anualmente genera, comparte y entrega propuesta  de  plan de acción con los minimos que deben estar atendiendo los compromisos externos, esta se comparte a los lideres de proceso para su respectiva revisión y ajustes. </t>
    </r>
    <r>
      <rPr>
        <sz val="11"/>
        <rFont val="Arial"/>
        <family val="2"/>
      </rPr>
      <t>En caso de desviaciones frente  a la omisión de compromisos externos o la formulación de metas distintas a estos, se da un alcance a la propuesta del plan de aación.</t>
    </r>
    <r>
      <rPr>
        <sz val="11"/>
        <color rgb="FF000000"/>
        <rFont val="Arial"/>
        <family val="2"/>
      </rPr>
      <t xml:space="preserve"> Como evidencia de este control se tiene la versión final del Plan  </t>
    </r>
  </si>
  <si>
    <t>El profesional de Direccionamiento según convocatoria participa en los espacios de articulación interinstitucional relacionados con la planeación, Designando un responsable para recibir los lineamientos y comunicarlos al equipo. En caso de desviaciones se solicitaran espacios de asistencia técnica adicionales con las entidades, como evidencia de este control se tiene los registros de participación.</t>
  </si>
  <si>
    <t>El profesional de Direccionamiento a demanda revisa la propuesta de modificación de plan de acción  con el objetivo de garantizar que se contemplen los compromisos externos  a través de la revisión del formato PE-FO-01 SOLICITUD DE MODIFICACIONES AL PLAN DE ACCIÓN. En caso de desviaciones se rechaza la modificación del plan de acción y solicitar ajuste al proceso que remitio la solicitud, como evidencia de este control se tiene el correo de aprobación o rechazo de la solicitud.</t>
  </si>
  <si>
    <t>PE-RG-2</t>
  </si>
  <si>
    <t>Posibilidad de presentar informes y reportes de la OAP con datos carentes de exactitud, completitud, oportunidad o que no reflejen la realidad de la gestión de la entidad ante diversas instancias internas y externas. Debido a la inadecuada gestión de la información. Por la falta de apropiación y adopción efectiva de dichas fuentes.</t>
  </si>
  <si>
    <t>Debido a la inadecuada gestión de la información</t>
  </si>
  <si>
    <t>por la falta de apropiación y adopción efectiva de dichas fuentes</t>
  </si>
  <si>
    <t>Posibles investigaciones disciplinarias.</t>
  </si>
  <si>
    <t xml:space="preserve">El líder del proceso y los asesores de la OAP  en cada uno de los informes que se generan, proceden a revisar y validar la información a través de la verificación de la exactitud y completitud de la información reportada, orientando las correcciones y alertas necesarias en caso de desviaciones en los resultados presentados, dejando como evidencia la fuente de los datos en el documento final oficial.  </t>
  </si>
  <si>
    <t>Promover el uso de la fuentes de información oficiales para los reportes o informes a través de piezas informativas</t>
  </si>
  <si>
    <t>Implementar y hacer seguimiento a la planeación de la información estadística requerida en informes y reportes de la OAP</t>
  </si>
  <si>
    <t xml:space="preserve">Realizar el ajuste de la información en caso de que sea posible. </t>
  </si>
  <si>
    <t>PE-RG-3</t>
  </si>
  <si>
    <t>Posibilidad de una implementación inadecuada de los lineamientos de los líderes de las políticas asignadas al proceso, debido a desarticulación interna. Por falta de lineamientos internos y la  apropiación de estos por parte de la alta dirección.</t>
  </si>
  <si>
    <t>debido a desarticulación interna</t>
  </si>
  <si>
    <t>Por falta de lineamientos internos y la  apropiación de estos por parte de la alta dirección</t>
  </si>
  <si>
    <t xml:space="preserve">Repetición de errores que implican gasto de recursos humanos y financieros </t>
  </si>
  <si>
    <t xml:space="preserve">El profesional de Direccionamiento Estratégico semestralmente realiza seguimiento a la política de gestión del conocimiento y la innovación a través del Comité Institucional de Gestión y Desempeño. En caso de identificarse desviaciones, se informará sobre el seguimiento de la política mediante el Boletín OAP. Como evidencia del control, se utilizarán las actas del Comité Institucional de Gestión y Desempeño.
</t>
  </si>
  <si>
    <t>Informar sobre los avances de la  implementación del plan de acción de getión del conocimiento y la innovación  a través de piezas informativas</t>
  </si>
  <si>
    <t>El profesional de Direccionamiento Estratégico, cada vez que se convoque, facilita la articulación para la implementación de las políticas de gestión del conocimiento y de gestión de la información estadística mediante reuniones interdisciplinarias con los equipos correspondientes. En caso de desviaciones, se informara las acciones de la politica a través del Boletín OAP. Como evidencia del control, se utilizan las actas de las reuniones y/o grabaciones de las mismas</t>
  </si>
  <si>
    <t xml:space="preserve">Priorizar los índices más bajos de la politica de gestión del conocimiento y la innovación evaluados mediante el FURAG </t>
  </si>
  <si>
    <t xml:space="preserve">El profesional de Direccionamiento Estratégico cada vez que se convoque coordina y lleva a cabo el Subcomité de Transparecia y participación ciudadana, para desarrollar aspectos de articulación y generación de lineamientos internos para las politicas: 
Participación ciudadana en la gestión pública
Transparencia, acceso a la información pública y lucha contra la corrupción
Servicio al ciudadano 
Racionalización de Tramites
En caso de desviaciones se analizan en el marco del CIGD, como evidencia del control son las actas de reunión.
</t>
  </si>
  <si>
    <t>Establecer un plan que contribuya al  cierre de brechas del IDI para las politicas a cargo de proceso de Direccionamiento Estrategico</t>
  </si>
  <si>
    <t xml:space="preserve">Se presentaran las alertas en los comités y subcomités para determinar las acciones correctivas. </t>
  </si>
  <si>
    <t>MC-RG-1</t>
  </si>
  <si>
    <t>Posibilidad de efecto reputacional por  no contar con herramientas de seguimiento y medición   del desempeño que agreguen valor para la toma de decisiones y la mejora continua, por  el reporte por parte de los procesos, debido a que los mecanismos de seguimiento establecidos no generen información  de valor</t>
  </si>
  <si>
    <t>por el reporte por parte de los procesos</t>
  </si>
  <si>
    <t>debido a que los mecanismos de seguimiento establecidos no generen información de valor</t>
  </si>
  <si>
    <t>La no medición y reporte oportuno de los indicadores no permite evaluar la eficiencia y eficacia del proceso en cuanto a su gestión. 
Observación: Aunque los procesos son responsables de la  medición, reporte y analisis de sus indicadores, la OAP como segunda linea defensa realiza seguimiento a este elementos del SIPG</t>
  </si>
  <si>
    <t xml:space="preserve">El profesional de mejoramiento continuo mensualmente realiza seguimiento al reporte de indicadores, a través del sistema de Información STRATEGOS, el cual realiza un corte al reporte de los indicadores de proceso a llevarse a cabo en el periodo. En caso de que no se cuente con el reporte de indicadores se notificara al líder de proceso y el responsable de la medición a través de correo electronico. Como evidencia de ejecución de este control son los correos electrónicos y el informe que genera la segunda línea de defensa. </t>
  </si>
  <si>
    <t>Realizar acompañamiento a los procesos para la adecuada formulacion de los indicadores a traves de la herramienta MC-FO-15 ficha técnica de indicador en el que se valora el indicador bajo criterios definidos para concluir si la alineación del indicador es fuerte, moderado o debil, en su alineación y pertinencia con el objetivo de los procesos.</t>
  </si>
  <si>
    <t>El profesional de mejoramiento continuo trimestralmente, genera recomendaciones y observaciones relacionadas con los indicadores de gestión reportados a través del sistema de información Strategos. Para ello, se realiza un corte del reporte de los indicadores de proceso correspondientes al periodo, consolidándolos en el formato MC-FO-16 "Batería de Indicadores".
En caso de que alguno de los profesionales no diligencie la herramienta, que los datos registrados no coincidan con lo reportado, o que no se realice un análisis adecuado de la información proporcionada por la primera línea de defensa, el líder del elemento de indicadores será responsable de generar las alertas correspondientes. Como evidencia de la ejecución de este control se utiliza el formato MC-FO-16 "Batería de Indicadores".</t>
  </si>
  <si>
    <t xml:space="preserve">Generar el boletin "PLANEANDO ANDAMOS" con información asociada a los elementos del SIPG que nos permitan alertar y generar recomendaciones a los procesos. 
</t>
  </si>
  <si>
    <t>El profesional de mejoramiento continuo mensualmente realiza el seguimiento al reporte de indicadores de proceso a través del sistema de información STRATEGOS. Esta revisión se lleva a cabo el último día hábil de cada mes, garantizando el reporte oportuno por parte de los procesos.
En caso de que no se cuente con el reporte de indicadores, se notificará a los procesos responsables antes de la fecha límite para su entrega. Los correos electrónicos con las alertas enviadas constituyen la evidencia de la ejecución de este control.</t>
  </si>
  <si>
    <t xml:space="preserve">Generar piezas informativas para alertar a los procesos del reporte oportuno de indicadores de gestión. </t>
  </si>
  <si>
    <t>El profesional de mejoramiento continuo  bimestralmente realiza seguimiento a las Salidas No Conformes (SNC) utilizando la información registrada por el nivel central y las direcciones territoriales en el módulo de SNC del sistema de información STRATEGOS.
Si una SNC registrada en el sistema cuenta con un tratamiento pero no con un cierre efectivo, se generará una alerta dirigida a los responsables (nivel central y direcciones territoriales) a través del informe de SNC. 
El informe de SNC generado por la segunda línea de defensa constituye la evidencia de la ejecución de este control.</t>
  </si>
  <si>
    <t xml:space="preserve">Efectuar el seguimiento al registro y cierre de las  SNC a través de las sesiones realizadas con los enlaces de planeación de las direcciones territoriales. </t>
  </si>
  <si>
    <t xml:space="preserve">Analizar los mecanismos de seguimiento que nos permitan la mejora continua y generar un valor agregado para la toma de decisión. </t>
  </si>
  <si>
    <t>MC-RG-2</t>
  </si>
  <si>
    <t>Posibilidad de formular planes de mejoramiento que no contribuyan a eliminar la causa raíz que genera el hallazgo para evitar su repetición, por incumplimiento en la aplicación de los lineamientos asociados a la formulación de los planes de mejoramiento, debido a las debilidades en la apropiación de la metodología de análisis de causas  y de la guia para la formulación de planes de mejoramiento.</t>
  </si>
  <si>
    <t>por incumplimiento en la aplicación de los lineamientos asociados a la formulación de los planes de mejoramiento</t>
  </si>
  <si>
    <t>debido a las debilidades en la apropiación de la metodología de análisis de causas y de la guia para la formulación de planes de mejoramiento.</t>
  </si>
  <si>
    <t xml:space="preserve">Formular PM que no contribuyan a eliminar la causa
Reprocesos en los procesos
Generar acciones derivadas de los PM que desgasten a los procesos por no dirigirlos hacia la eficacia. </t>
  </si>
  <si>
    <t xml:space="preserve">El profesional de mejoramiento continuo cada vez que se requiera formular un plan de mejoramiento (Fuente OCI - Auditorías externas) o cuando se solicite acompañamiento a formulación de planes de mejoramiento de otras fuentes, orientan metodológicamente la formulación de los planes de mejoramiento, a través de la realización de mesas técnicas y/o acompañamientos, revisando lo siguiente: 
* Identificar y analizar los planes de mejoramiento vigentes con hallazgos iguales o similares, para fortalecerlos y/o evitar su duplicidad.
* Los planes de mejoramiento cerrados con hallazgos iguales o similares, para identificar y analizar las actividades o análisis de causa que deban replantearse.
* La identificación participativa de la (s) causa (s) raíz que generaron el hallazgo, definiendo y aplicando la (s) técnica (s) mas adecuada contemplada (s) en la Guía metodológica para el análisis de causas MC-GU-03 
* Definiendo acciones que corrijan el hallazgo y que contribuyan a eliminar las causas identificadas con el fin de evitar la recurrencia.
En caso de identificar la formulación de un plan de mejoramiento que tenga debilidades en los análisis de causa y la definición de acciones, se devuelve al responsable de la formulación el plan de mejoramiento para sus respectivos ajustes. Las evidencias se pueden consultar en: los planes de mejoramiento reportados en el sistema de información Strategos - Módulo de mejora, en los que encuentra inmerso el acta de formulación. </t>
  </si>
  <si>
    <t xml:space="preserve">
Generar el boletin "PLANEANDO ANDAMOS" con información asociada a los elementos del SIPG que nos permitan alertar y generar recomendaciones a los procesos. </t>
  </si>
  <si>
    <t>Los profesionales de mejoramiento continuo cada vez que ingrese un nuevo facilitador de proceso del nivel central o profesional de planeación de las direcciones territoriales Se fortalecera los conocimientos y la  aplicación de los lineamientos para la identificación del analisís de causas y planes de mejoramiento  en caso de que la prueba arroje resultados por debajo de la escala definida, se procederá a fortalecer el conocimiento en la Guía metodológica para el análisis de causas MC-GU-03. Evidencias: Formulario aplicado, listados de asistencia, Slide de la presentación</t>
  </si>
  <si>
    <t>Realizar mesa técnicas de acompañamiento de la OAP y el proceso para los planes de mejoramiento con cierre no efectivo que este asociado al analisis de causa</t>
  </si>
  <si>
    <t>MC-RSI-3</t>
  </si>
  <si>
    <t>Posible pérdida de la integridad, confidencialidad y disponibilidad de la información procesada en la carpeta compartida de la OAP,debido a posibles accesos no autorizados. Por  la no actualización de manera oportuna de los permisos de acceso a la carpeta compartida, donde se almacenan los documentos vigentes, obsoletos y publicados del SIPG.</t>
  </si>
  <si>
    <t>debido a posibles accesos no autorizados</t>
  </si>
  <si>
    <t xml:space="preserve">
Por  la no actualización de manera oportuna de los permisos de acceso a la carpeta compartida, donde se almacenan los documentos vigentes, obsoletos y publicados del SIPG.</t>
  </si>
  <si>
    <t xml:space="preserve">Perdida de la información 
La no atención a solicitudes externas o internas de documentos </t>
  </si>
  <si>
    <t>EL profesional de mejoramiento continuo semestralmente verifica que las personas con acceso a la carpeta compartida del nivel central  (OAP) donde se encuentra la información relacionada con los documentos del SIPG (obsoletos, vigentes y publicado) , sean las autorizadas por el Lider del equipo de mejoramiento continuo, con el propósito de mitigar la perdida y/o filtración de la información sometida a reserva.
Control asociado a la ISO 27002: (9.2.5)</t>
  </si>
  <si>
    <t>Solicitar a la OTI a tráves de un GLPI  el backup con la información de la carpeta.</t>
  </si>
  <si>
    <t>CP-RG-1</t>
  </si>
  <si>
    <t>Posibilidad de que las Dependencias y Direcciones Territoriales de la UAEGRTD generen acercamientos y gestiones con actores de cooperación internacional sin la debida alineación con la estrategia de cooperación y la articulación con el Proceso de Gestión de Cooperación Internacional</t>
  </si>
  <si>
    <t>Porque los lideres de las dependencias y Direcciones Territoriales no comunican ni vinculan al líder del proceso de Cooperación Internacional sobre los acercamientos realizados con los actores de cooperación internacional.</t>
  </si>
  <si>
    <t>Debido al desconocimiento de la estrategia de cooperación internacional de la UAEGRTD por parte de los lideres de dependencia y por la falta de dar la importancia de socializar la información con el líder del proceso de cooperación internacional oportunamente.</t>
  </si>
  <si>
    <t>Pérdida de confianza y/o descoordinación  de los cooperantes</t>
  </si>
  <si>
    <r>
      <t>El</t>
    </r>
    <r>
      <rPr>
        <b/>
        <sz val="12"/>
        <color rgb="FF000000"/>
        <rFont val="Arial"/>
        <family val="2"/>
      </rPr>
      <t xml:space="preserve"> líder </t>
    </r>
    <r>
      <rPr>
        <sz val="12"/>
        <color rgb="FF000000"/>
        <rFont val="Arial"/>
        <family val="2"/>
      </rPr>
      <t xml:space="preserve">del Proceso de Gestión de Cooperación Internacional </t>
    </r>
    <r>
      <rPr>
        <b/>
        <sz val="12"/>
        <color rgb="FF000000"/>
        <rFont val="Arial"/>
        <family val="2"/>
      </rPr>
      <t>convocará</t>
    </r>
    <r>
      <rPr>
        <sz val="12"/>
        <color rgb="FF000000"/>
        <rFont val="Arial"/>
        <family val="2"/>
      </rPr>
      <t xml:space="preserve"> a los líderes de las direcciones territoriales y dependencias para reuniones periódicas en las cuales se </t>
    </r>
    <r>
      <rPr>
        <b/>
        <sz val="12"/>
        <color rgb="FF000000"/>
        <rFont val="Arial"/>
        <family val="2"/>
      </rPr>
      <t>socializarán</t>
    </r>
    <r>
      <rPr>
        <sz val="12"/>
        <color rgb="FF000000"/>
        <rFont val="Arial"/>
        <family val="2"/>
      </rPr>
      <t xml:space="preserve"> los acercamientos, gestiones y actividades realizadas con entidades de cooperación internacional, tanto desde el equipo de cooperación a nivel central como desde las direcciones territoriales y dependencias. Además, se </t>
    </r>
    <r>
      <rPr>
        <b/>
        <sz val="12"/>
        <color rgb="FF000000"/>
        <rFont val="Arial"/>
        <family val="2"/>
      </rPr>
      <t>presentarán lineamientos</t>
    </r>
    <r>
      <rPr>
        <sz val="12"/>
        <color rgb="FF000000"/>
        <rFont val="Arial"/>
        <family val="2"/>
      </rPr>
      <t xml:space="preserve"> para la gestión de la cooperación. Estas reuniones se realizarán como la </t>
    </r>
    <r>
      <rPr>
        <b/>
        <sz val="12"/>
        <color rgb="FF000000"/>
        <rFont val="Arial"/>
        <family val="2"/>
      </rPr>
      <t>Mesa de Seguimient</t>
    </r>
    <r>
      <rPr>
        <sz val="12"/>
        <color rgb="FF000000"/>
        <rFont val="Arial"/>
        <family val="2"/>
      </rPr>
      <t>o a la Cooperación Internacional, con una frecuencia de tres veces al año.</t>
    </r>
  </si>
  <si>
    <t>Realizar reuniones con los cooperantes y los líderes de dependencias y direcciones territoriales que tengan acercamientos con actores de cooperación internacional, con el fin de fortalecer y gestionar dichos acercamientos de manera alineada con los objetivos de la estrategia del  proceso de cooperación internacional.</t>
  </si>
  <si>
    <r>
      <rPr>
        <sz val="12"/>
        <color rgb="FF000000"/>
        <rFont val="Arial"/>
        <family val="2"/>
      </rPr>
      <t>El</t>
    </r>
    <r>
      <rPr>
        <b/>
        <sz val="12"/>
        <color rgb="FF000000"/>
        <rFont val="Arial"/>
        <family val="2"/>
      </rPr>
      <t xml:space="preserve"> Líder</t>
    </r>
    <r>
      <rPr>
        <sz val="12"/>
        <color rgb="FF000000"/>
        <rFont val="Arial"/>
        <family val="2"/>
      </rPr>
      <t xml:space="preserve"> del Proceso de Gestión de Cooperación Internacional </t>
    </r>
    <r>
      <rPr>
        <b/>
        <sz val="12"/>
        <color rgb="FF000000"/>
        <rFont val="Arial"/>
        <family val="2"/>
      </rPr>
      <t>debe consultar</t>
    </r>
    <r>
      <rPr>
        <sz val="12"/>
        <color rgb="FF000000"/>
        <rFont val="Arial"/>
        <family val="2"/>
      </rPr>
      <t xml:space="preserve"> de manera cuatrimestral a los líderes de dependencias y direcciones territoriales </t>
    </r>
    <r>
      <rPr>
        <b/>
        <sz val="12"/>
        <color rgb="FF000000"/>
        <rFont val="Arial"/>
        <family val="2"/>
      </rPr>
      <t>la relación de acercamientos y actividades de cooperación</t>
    </r>
    <r>
      <rPr>
        <sz val="12"/>
        <color rgb="FF000000"/>
        <rFont val="Arial"/>
        <family val="2"/>
      </rPr>
      <t xml:space="preserve"> adelantadas con entidades de cooperación internacional, con el propósito de identificar la posible desarticulación entre las dependencias y los colaboradores del proceso de cooperación internacional, y brindar orientaciones a los líderes de dependencia.</t>
    </r>
  </si>
  <si>
    <t>Convocar inmediatamente mesa de trabajo con la dependencia involucrada para que informe detalladamente el relacionamiento existente con la entidad cooperante y para socializar información sobre el relacionamiento con la/s entidades de que se trate</t>
  </si>
  <si>
    <r>
      <rPr>
        <sz val="12"/>
        <color rgb="FF000000"/>
        <rFont val="Arial"/>
        <family val="2"/>
      </rPr>
      <t xml:space="preserve">
E</t>
    </r>
    <r>
      <rPr>
        <b/>
        <sz val="12"/>
        <color rgb="FF000000"/>
        <rFont val="Arial"/>
        <family val="2"/>
      </rPr>
      <t>l profesional especializado</t>
    </r>
    <r>
      <rPr>
        <sz val="12"/>
        <color rgb="FF000000"/>
        <rFont val="Arial"/>
        <family val="2"/>
      </rPr>
      <t xml:space="preserve"> del Proceso de Cooperación Internacional delegado </t>
    </r>
    <r>
      <rPr>
        <b/>
        <sz val="12"/>
        <color rgb="FF000000"/>
        <rFont val="Arial"/>
        <family val="2"/>
      </rPr>
      <t>debe sistematizar</t>
    </r>
    <r>
      <rPr>
        <sz val="12"/>
        <color rgb="FF000000"/>
        <rFont val="Arial"/>
        <family val="2"/>
      </rPr>
      <t xml:space="preserve"> la información sobre los </t>
    </r>
    <r>
      <rPr>
        <b/>
        <sz val="12"/>
        <color rgb="FF000000"/>
        <rFont val="Arial"/>
        <family val="2"/>
      </rPr>
      <t xml:space="preserve">acercamientos y actividades </t>
    </r>
    <r>
      <rPr>
        <sz val="12"/>
        <color rgb="FF000000"/>
        <rFont val="Arial"/>
        <family val="2"/>
      </rPr>
      <t>realizadas en articulación con la cooperación internacional,</t>
    </r>
    <r>
      <rPr>
        <b/>
        <sz val="12"/>
        <color rgb="FF000000"/>
        <rFont val="Arial"/>
        <family val="2"/>
      </rPr>
      <t xml:space="preserve"> en un Informe Consolidado de la Mesa de Seguimiento</t>
    </r>
    <r>
      <rPr>
        <sz val="12"/>
        <color rgb="FF000000"/>
        <rFont val="Arial"/>
        <family val="2"/>
      </rPr>
      <t>, que se publicará de manera cuatrimestral en la intranet para información de</t>
    </r>
  </si>
  <si>
    <t>CP-RG-2</t>
  </si>
  <si>
    <t>Posibilidad de pérdida o deterioro de las relaciones entre la UAEGRD y los cooperantes, asociadas a dificultades en la implementación de acciones o al incumplimiento de</t>
  </si>
  <si>
    <t xml:space="preserve"> Por dificultades que pueden presentarse en la ejecución de los proyectos o planes de acción con la cooperación.</t>
  </si>
  <si>
    <t xml:space="preserve">Debido a retrasos en la ejecución de actividades acordadas en los proyectos e instrumentos de cooperación internacional y/o al desconocimiento del avance y estado actual de los proyectos de cooperación vigentes por parte del líder del proceso o por omisión de actividades y responsabilidades asignadas al supervisor o responsables técnicos.     </t>
  </si>
  <si>
    <t>Pueden verse afectadas las relaciones entre la UAEGRTD y los cooperantes (Incumplimiento de los resultados esperados, pérdida de la credibilidad, no continuidad del cooperante para futuros proyectos</t>
  </si>
  <si>
    <t>Mantener actualizada la información sobre las relaciones de cooperación de la UAEGRD y dar seguimiento a la evolución en la implementación de acciones y el cumplimiento de compromisos.</t>
  </si>
  <si>
    <t>Reiterar solicitudes de información a los supervisores y responsables técnicos de los proyectos y planes de acción articulados con cooperantes</t>
  </si>
  <si>
    <t>El Líder del Proceso de Gestión de Cooperación Internacional y/o las personas del equipo de cooperación delegadas deben realizar reuniones y mesas de trabajo con los cooperantes actuales, con la participación de las dependencias o direcciones territoriales involucradas, para dar seguimiento a los acuerdos suscritos e impulsar el avance de las acciones articuladas con los cooperantes.</t>
  </si>
  <si>
    <t>Realizar reuniones específicas con los cooperantes a nivel directivo, involucrando, en la medida de lo posible, al Director General de la URT, con el fin de fortalecer la colaboración y alinear los esfuerzos en torno a los objetivos comunes.</t>
  </si>
  <si>
    <t>Elaborar y remitir a la dependencia correspondiente las actas de delegación de responsabilidad técnica para los acuerdos de cooperación activos entre la URT y los cooperantes, con el fin de formalizar y clarificar las responsabilidades asignadas por cada línea de acción del plan, programa o proyecto</t>
  </si>
  <si>
    <t>CP-RSI-3</t>
  </si>
  <si>
    <t xml:space="preserve">Posibilidad de pérdida de la integridad y disponibilidad de la información relacionada con la gestión de la Cooperación Internacional </t>
  </si>
  <si>
    <t>Accesos no autorizados a las carpetas (ya sea en la carpeta compartida, Z:\130-041-131 - Proceso de Cooperación Internacional, o en la carpeta de SharePoint - Proceso de Gestión de la Cooperación Internacional), o falta de conocimiento de los Criterios establecidos para el manejo adecuado de la información.</t>
  </si>
  <si>
    <t>La carpeta compartida Z hace parte de una carpeta principal con acceso a un grupo muy amplio de personas autorizadas. 
Almacenamiento de activos de información en repositorios de OneDrive -espacio personal- u otros que no cuentan con copias de seguridad centralizadas</t>
  </si>
  <si>
    <t xml:space="preserve">La pérdida de esta información puede dificultar el seguimiento de los procesos de Cooperación Internacional y puede causar fracturas en las relaciones con actores de cooperación y poner en riesgo la reputación de la Unidad.  </t>
  </si>
  <si>
    <t>El líder del Proceso de Cooperación Internacional debe verificar de manera periódica (semestral) que el listado de personas con acceso a las carpetas compartidas corresponda con aquellas que forman parte del proceso o que, por nivel jerárquico o técnico, requieran acceso a la información.</t>
  </si>
  <si>
    <t>Modificación de la lista de personas con acceso a dicha carpeta</t>
  </si>
  <si>
    <t>El líder del Proceso de Cooperación Internacional pondrá en marcha el lineamiento para el almacenamiento y la gestión de la información del proceso de cooperación de manera compartida en la carpeta Z, en el espacio compartido de SharePoint y en los canales de Teams.</t>
  </si>
  <si>
    <t>Chequeo sobre la aplicación de los lineamientos por parte del equipo de cooperación</t>
  </si>
  <si>
    <t>GT-RSI-1</t>
  </si>
  <si>
    <t>Posibilidad de pérdida de disponibilidad de los equipos de cómputo institucionales debido a eventos de intrusión, fallas, robo, pérdida, errores en la aplicación de políticas seguridad, uso inapropiado y falta de conciencia en seguridad causando afectación económica y reputacional de la Unidad</t>
  </si>
  <si>
    <t>uso inapropiado, eventos de intrusión, fallas en el equipo, robo o pérdida</t>
  </si>
  <si>
    <t xml:space="preserve"> errores en la aplicación de politicas de seguridad, la falta de conciencia en seguridad </t>
  </si>
  <si>
    <t>Incumplimientos en la aplicación de la politica de seguiridad</t>
  </si>
  <si>
    <t>El Profesional de infraestructura es el responsable de mantener activa y operativa la política de bloqueo de equipos por inactividad a los 5 minutos, política definida en el directorio activo, asegurando que esta aplique en todos los equipos de la Unidad. (11.2.9)</t>
  </si>
  <si>
    <t>Ejecutar lo descrito en la politica para la gestión de incidentes de seguridad de la información</t>
  </si>
  <si>
    <t>El 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</si>
  <si>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Los Ingenieros territoriales  y el Profesional de infraestructura verifican  que se hayan realizado los mantenimientos a los equipos de computo, ejecutando las actividades descritas en el plan de mantenimiento. (11.2.4)</t>
  </si>
  <si>
    <t>El Profesional Universitario OTI y los ingenieros territorales validan que se hayan realizado las siguientes actividades:
Para los equipos nuevos, entregados durante el periodo,  la adecuada asignación de: direccionamiento ip, controlador de dominio, configuración de DNS, nemotecnia, licenciamiento, instalación de herramientas ofimáticas, herramienta de inventario de equipos y antivirus.
Para los otros equipos de computo la actualizacion del software base, la ofimática, los navegadores, antivirus  y demás componentes necesarios para su operación. (11.2.4, 12.6.2)</t>
  </si>
  <si>
    <t>GT-RSI-2</t>
  </si>
  <si>
    <t>Posibilidad de pérdida de disponibilidad de los sistemas de información, aplicaciones, centros de datos on premises y de nube  debido a la ejecución de cambios no planificados, autorizados ni controlados y falta de monitoreo de los accesos con credenciales de administrador causando incumplimiento en acuerdos de servicio y pérdida reputacional de la Unidad</t>
  </si>
  <si>
    <t>cambios no autorizados</t>
  </si>
  <si>
    <t xml:space="preserve">uso no controlado y la falta de monitoreo de los accesos con credenciales de administrador </t>
  </si>
  <si>
    <t>Fallas en la prestación del servicio</t>
  </si>
  <si>
    <t>El gestor de cambios valida, en el momento de la ejecución del cambio, la correcta aplicación de los Procedimientos de Gestión de Cambios donde se identifican las tareas a realizar en cada sistema y  dejar la evidencia de su aplicación. (12.1.2)</t>
  </si>
  <si>
    <t>El profesional de infraestructura, redes y de seguridad Informática verifican que se haya realizado el mantenimiento a la infraestructura tecnologica de los centros de datos asegurando que se tengan los informes de mantenimiento actualizados para cada equipo. (11.2.4)</t>
  </si>
  <si>
    <t>El profesional de seguridad informática, de bases de datos, de sistemas de información y  administradores técnicos de aplicaciones verifican, semestralmente, que se hayan actualizado los componentes de software que integran los sistemas de información, las aplicaciones, los servicios de información y los servicios de seguridad e informática asegurando que se tengan los informes de mantenimiento actualizados para cada equipo. (11.2.4)</t>
  </si>
  <si>
    <t>GT-RSI-3</t>
  </si>
  <si>
    <t>Posibilidad de perdida de la integridad y confidencialidad de Sistemas de información y Aplicaciones de Centros de datos y Nube debido a accesos no autorizados, por que la activación y desactivación de credenciales se hace de forma manual, esto puede ocasionar una  fuga y alteración  de información lo que puede llevar a afectar negativamente la reputación de la unidad.</t>
  </si>
  <si>
    <t>accesos no autorizados</t>
  </si>
  <si>
    <t>activación y desactivación de credenciales se hace de forma manual</t>
  </si>
  <si>
    <t>fuga y alteración  de información</t>
  </si>
  <si>
    <t>Los colaboradores de la mesa de servicios, los ingenieros territoriales o un profesional de base de  datos validan, cuando sea necesario, la correcta  activación y desactivación de usuarios a través del procedimiento establecido, contra el ticket en el GLPI donde se realiza la solicitud. (9.1.2, 9.2.1, 9.2.2)</t>
  </si>
  <si>
    <t>Los colaboradores de la mesa de servicios y profesional de infraestructura verifican que se haya identificado los usuarios que aún permanecen activos en el controlador de dominio y que ya no están laborando en la URT y se haya solicitado la corrección de estas diferencias. (9.2.6)</t>
  </si>
  <si>
    <t xml:space="preserve">El Profesional de seguridad informática elimina los usuarios entregados en el excel, resultado del cruce del directorio activo en las reglas y VPN´S de los Firewall.  </t>
  </si>
  <si>
    <t>Los lideres de dominio verifican y mantienen la matriz de roles y responsabilidades actualizada, conforme a los cambios que se generen con relacion a los sistemas de información y aplicaciones. (9.2.5)</t>
  </si>
  <si>
    <t xml:space="preserve">El lider del proceso o colaborador autorizado, verifica la correcta asignacion de los roles de los colabores de su dependencia en los sistemas de información y aplicaciones. (transversal a cada proceso) </t>
  </si>
  <si>
    <t>El lider de sistema de informacion verifica que este incluido en el formato de gestion de cambios las validaciones, configuraciones, y/o parametrizaciones previo a la realizacion de los despliegues de los sistemas de informacion.</t>
  </si>
  <si>
    <t>El profesional de infraestructura, o de seguridad informática verifican, ante una solicitud de restablecer alguna copia de seguridad, que esta sea recuperada desde los respaldos administrados por la OTI y se cierre corectamente el GLPI de la solicitud. (12.3.1)</t>
  </si>
  <si>
    <t xml:space="preserve">El profesional de infraestructura o administrador de office 365 verifica la activacion del protocolo MFA para los nuevos colaboradores de la Unidad. </t>
  </si>
  <si>
    <t>GT-RSI-4</t>
  </si>
  <si>
    <t>Posibilidad de perdida de integridad y confidencialidad de los equipos de computo por la instalación de código o software malicioso debido a la descarga de información  sin control,
Sistemas desprotegidos ante acceso no autorizado, pudiendo causar perdida y/o fuga de información que puede afectar negativamente la reputación de la unidad.</t>
  </si>
  <si>
    <t>instalación de código malicioso o software malicioso</t>
  </si>
  <si>
    <t>Descarga de información  sin control,
Sistemas desprotegidos ante acceso no autorizado</t>
  </si>
  <si>
    <t>Perdida y/o fuga  de información</t>
  </si>
  <si>
    <t>El profesional de Seguridad de la Información verifica, que la navegación de internet se haga de forma segura a través del uso de firewalls a nivel central y territorial y asegura a su vez que estén actualizados los reportes de configuración de las plataformas. (13.1.1, 13.1.2)</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</si>
  <si>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</si>
  <si>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El profesional de Seguridad de la Información configura las reglas del firewall y realiza el monitoreo de las mismas. (12.4.3)</t>
  </si>
  <si>
    <t>GT-RSI-5</t>
  </si>
  <si>
    <t>Posibilidad de pérdida de disponibilidad de los equipos de cómputo personales para el trabajo en casa por acción de código o software malicioso debido al modelo de operación remota de la Entidad causando pérdida de información y reputacional para la Entidad</t>
  </si>
  <si>
    <t>Instalación de software malicioso</t>
  </si>
  <si>
    <t>cambios en el modelo de operación de la entidad</t>
  </si>
  <si>
    <t>Inoportunidad en la prestación de los servicios</t>
  </si>
  <si>
    <t>El profesional de Seguridad de la Información verifica, cada vez que se solicita la configuración de acceso con privilegios especiales, que se haya activado en el equipo de computo personal,el protocolo para proteger el acceso a las redes de la entidad a través del Network Access Control (NAC), este protocolo valida si el equipo personal que se va a conectar cuenta con las características exigidas por la Unidad en el nivel central como son: sistema operativo, antivirus y las configuraciones mínimas de seguridad para conectarse a la red y hacer uso de los servicios. (9.4.1, 12.6.2)</t>
  </si>
  <si>
    <t xml:space="preserve">La mesa de ayuda verifica la configuracion de seguridad de los dispositivos de terceros (proveedores o contratistas) que requieran conectarse al sistema de informacion strategos. </t>
  </si>
  <si>
    <t>GT-RSI-6</t>
  </si>
  <si>
    <t>posibilidad de perdida de integridad y confidencialidad de las contraseñas de administrador por el fraude o fuga de información debido a Falta de control en la custodia causando Robo o fraude o perdida de información,  pudiendo ocasionar deterioro en la reputación de la unidad.</t>
  </si>
  <si>
    <t>Fraude o fuga de información</t>
  </si>
  <si>
    <t>Falta de control en la  custodia</t>
  </si>
  <si>
    <t>Robo o fraude o perdida de información que puede afectar la prestación del servicio</t>
  </si>
  <si>
    <t>Los líderes de dominio validan que exista la base de datos de usuarios y contraseñas de las cuentas de administración actualizadas en la aplicacion KeePass. (10.1.2)</t>
  </si>
  <si>
    <t xml:space="preserve">Sensibilizar acerca de riesgos de revelación /uso inadecuado de claves  contraseñas </t>
  </si>
  <si>
    <t>R6</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</si>
  <si>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</si>
  <si>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Cambiar la  contraseñas admin, administrador, root, etc. De ser posible y actualizar el KeePass</t>
  </si>
  <si>
    <t>GT-RSI-7</t>
  </si>
  <si>
    <t>Posibilidad de perdida de disponibilidad e integridad de la información por la inadecuada administracion de las bases de datos alojadas en el centro de datos y en la nube debido a errores de configuración y definición de modelos de datos pudiendo causar un impacto económico o reputacional a la Unidad.</t>
  </si>
  <si>
    <t xml:space="preserve"> inadecuada administracion de las bases de datos alojadas en el centro de datos y en la nube</t>
  </si>
  <si>
    <t>debido a errores de configuracion y definicion de los modelos de datos</t>
  </si>
  <si>
    <t>perdida reputacional e Indisponibilidad  de los sistemas de  información y reprocesos en la reconstruccion y  verificacion de la integridad de la informacion</t>
  </si>
  <si>
    <t>El lider de informacion verifica y mantiene la matriz de roles y responsabilidades actualizada, conforme a los privilegios para la administración de las bases de datos que son asignados a los colaboradores autorizados y que tienen las capacidades para ejecutar estas actividades. (9.2.3)</t>
  </si>
  <si>
    <t>R7</t>
  </si>
  <si>
    <t>Los administradores de bases de datos  verifican que los perfiles y accesos asignados a los usuarios que ingresan a la base de datos son suficentes para ejecutar sus tareas. (9.2.5)</t>
  </si>
  <si>
    <t>Los administradores de bases de datos verifican que las herramientas para el monitoreo de las bases de datos esten activas y completamente configuradas para detectar, diagnosticar y resolver rápidamente transacciones y problemas de rendimiento que se vean reflejados en el informe de rendimiento. (12.4.3)</t>
  </si>
  <si>
    <t>Los administradores de bases de datos validan a través de semaforos y/o tableros de calidad de datos la información gestionada y almacenada en las bases de datos, esto permite gestionar e identificar inconsistencias en la integridad de la información y/o incompletitud de la misma. (12.4.3)</t>
  </si>
  <si>
    <t>El líder de información debe mantener, acorde con la aplicación de cambios, la  actualización de los documentos para la administración de las bases datos, tales como: diccionarios de datos y modelos relacionales. (12.1.1)</t>
  </si>
  <si>
    <t>GT-RSI-8</t>
  </si>
  <si>
    <t>Posibilidad de perdida de confidencialidad y disponibilidad de la información fuera del centro de datos y en la Nube debido a escasa definición de lineamientos para la gestión de interoperabilidad en la URT pudiendo ocasionar deterioro en la reputación de la unidad.</t>
  </si>
  <si>
    <t xml:space="preserve">perdida de datos </t>
  </si>
  <si>
    <t>escasa definición de lineamientos para la gestión de  interoperabilidad en la URT
roles sin identificar para el intercambio de información 
no se tiene definida una arquitectura para la interoperabilidad 
incumplimiento de la Ley de protección de datos personales       incumplimiento de los acuerdo de confidencialidad.</t>
  </si>
  <si>
    <t>inoportunidad en la prestación del servicio
Perdida y/o fuga  de información
vulneración de los derechos de la población objeto de los procesos de Restitución</t>
  </si>
  <si>
    <t xml:space="preserve">El gestor de interoperabilidad valida, cada vez que se presenten nuevos acuerdos, los lineamientos y Protocolos de intercambio de información de la Unidad con terceros, para garatizar que se cumplan las guías de consumo que indique las características del servicio, incluidas las condiciones de seguridad asi como verificar si los lineamientos requieren alguna actualizacion, identificando y realizando el tratamiento aplicando los correctivos. </t>
  </si>
  <si>
    <t xml:space="preserve">El Oficial de Seguridad de la informacion  y el gestor de interoperabilidad verifica que cada vez que se presente un nuevo acuerdo o convenio de intercambio se diligencien los acuerdos de confidencialidadse esto se realiza a través de lo definido en el procedimiento de intercambio de información aplicando los acuerdo de confidencialidad.  </t>
  </si>
  <si>
    <t>El gestor de interoperabilidad de datos genera un reporte de transacciones de los servicios de la funcionalidad del Nodo de Tierras, donde se extrae información de consumo desde las bases de datos de los servicios que esta en producción emitiendo alertas sobre los servicios cuyo consumo haya bajado considerablemente, se crean mesas de trabajo para detectar la causa raíz y solucionar, si es el caso, el problema que tenga el servicio generando el reporte de las transacciones.</t>
  </si>
  <si>
    <t>GT-RG-9</t>
  </si>
  <si>
    <t>Posibilidad de afectación reputacional de la Entidad por pérdida de la disponibilidad y continuidad de los servicios de TI debido a inadecuada asignación de recursos y deficiencias en la gestión y monitoreo de la seguridad, plataforma y componentes de la infraestructura de TI</t>
  </si>
  <si>
    <t>servicios no disponibles  debido a situaciones externas y/o inadecuado  monitoreo  que afectan la operación</t>
  </si>
  <si>
    <t xml:space="preserve">Situaciones naturales  que puedan afectar los centros de datos y redes de comunicaciones asi como Condiciones inadecuadas físicas y del entorno para los elementos o componentes de la plataforma tecnológica </t>
  </si>
  <si>
    <t xml:space="preserve">Afectación de la operación de los servicios de TI. </t>
  </si>
  <si>
    <t>Los profesionales de infraestructura y de seguridad de la informacion verifican la realizacion de los respaldos a los servicios de TI presentes en los centros de datos con aplicaciones propias de la URT y servicios contratados con proveedores externos generando reportes de los respaldos generados.</t>
  </si>
  <si>
    <t>R9</t>
  </si>
  <si>
    <t>El líder de proceso valida y garantiza la destinación de recursos para atender los procesos necesarios en la prestación de servicios de TI y la contratacion formulado en el plan anual de adquisiciones con las actualizaciones necesarias.</t>
  </si>
  <si>
    <t>El  ingeniero de seguridad de la informacion garantiza la operación validando los eventos de seguridad en las plataformas de seguiridad que se encuentran bajo su administracion identificando su causa y generando un reporte de las herramientas de monitoreo</t>
  </si>
  <si>
    <t>El lider de servicios tecnológicos valida que se controle de manera adecuada los recursos de infraestructura, a través de cotejar y hacer seguimiento a la Matriz de gestión de control de la capacidad y disponibilidad, consolida los reportes mensuales generados por cada administrador lo que conlleva a realizar los reportes al plan de accion.</t>
  </si>
  <si>
    <t>El Profesional de infraestructura y/o el profesional de seguridad informática verifica que se mantenga la continuidad o replicación de los servicios de portal web, SRTDAF, carpetas compartidas, firewall, intranet y demás servicios  establecidos realizando pruebas de operacion de la continuidad de la infraestructura y los servicios TI, generando el reporte de la continuidad de estos.</t>
  </si>
  <si>
    <t>GT-RG-10</t>
  </si>
  <si>
    <t>Posibilidad de afectación económica y reputacional para la Unidad por adquisición y/o desarrollo de aplicaciones no funcionales debido a insuficiente claridad, conocimiento y comunicación entre el equipo desarrollador y los usuarios para establecer y validar la necesidad y requerimientos, y deficiencias en el procedimiento de desarrollo de software</t>
  </si>
  <si>
    <t>Insuficiente conocimiento por parte del usuario funcional y/o   frecuente rotacion de los colaboradores</t>
  </si>
  <si>
    <t xml:space="preserve">Requisitos para el desarrollo y/o adquisición de software no definidos con claridad </t>
  </si>
  <si>
    <t xml:space="preserve">Incumplimiento de las políticas y lineamientos definidos para los servicios TI, pérdida de información e indisponibilidad de la operación </t>
  </si>
  <si>
    <t>El líder, usuarios funcionales y analistas verifican de acuerdo al plan de implementación, que se hayan revisado y validado las historias de usuario  de acuerdo con el procedimiento de atencion de requerimientos, además de, asegurar que se hayan generado las versiones de historias de usuario generanado la mejora continua del levantamiento del requerimiento hasta la aprobación funcional realizando el historial de usuario aprobado.</t>
  </si>
  <si>
    <t>R10</t>
  </si>
  <si>
    <t>GT-RF-12</t>
  </si>
  <si>
    <t>Posibilidad de efecto dañoso sobre el patrimonio por detrimento o sobrecosto de productos de SW que no dan solución total o parcial a la necesidad por la cual fueron desarrollados debido  a debilidades u omisiones del procedimiento asociado al desarrollo de software</t>
  </si>
  <si>
    <t>Problemas de comunicación entre el usuario solicitante y los equipos de desarrollo para el entendimiento de las necesidades de usuario y levantamiento de requerimientos funcionales y no funcionales, y/o errores u omisiones del procedimiento asociado al desarrollo de software generando que el desarrollo entregado no sea funcional o no solucione la necesidad del usuario solicitante</t>
  </si>
  <si>
    <t xml:space="preserve"> * Inexistencia de mecanismo para valorar un producto de software; activo intangible desarrollado inHouse por la Unidad. 
* Los costos asociados al desarrollo de software no tienen reconocimiento como activo en la Unidad y se están llevando al gasto contablemente. 
* Debilidades o fallas en la definición o aplicación de los procedimientos de desarrollo de software y de gestión de proyectos.
* Debilidades o incumplimiento de los acuerdos de confidencialidad a un tercero no autorizado al divulgar, usar o transferir los códigos fuente o ejecutables de un software desarrollado por encargo de la Unidad. 
* Inexistencia de mecanismos internos para realizar la cesión y registro de los derechos de autor de las obras de software a nombre de la Unidad ante la Dirección Nacional de Derechos de Autor. </t>
  </si>
  <si>
    <t>Detrimeto patrimonial</t>
  </si>
  <si>
    <t>El Gestor de proyectos  sistemas de información  de acuerdo al plan y por demanda verifica que se aplique la Ficha Técnica de valoración con el objetivo de garantizar que todo el software que es desarrollado localmente cuente con su valor contable estimado. En caso de identificar desviaciones debe solicitar al encargado hacer la valoración con la ficha técnica. Como resultado se genera acta con la confirmación de la verificación de las fichas técnicas de los software que se van a valorar</t>
  </si>
  <si>
    <t xml:space="preserve">Elaborar propuesta de  Ficha Técnica que permita establecer el valor del software desarrollado inHouse para que pueda ser reconocido como activo intangible, y tramitar su articulación con las políticas contables. </t>
  </si>
  <si>
    <t>R12</t>
  </si>
  <si>
    <t>El Gestor de proyectos  sistemas de información  de acuerdo al plan y por demanda verifica que Gestión Financiera confirme la realización del registro contable del activo intangible - software con el objetivo de garantizar que el software que está valorado sea registrado contablemente. En caso de identificar desviaciones debe remitir la solcitud de reconocimiento contable a Gestión Financiera. Como resultado se genera acta con la confirmación de la inclusión en contablidad del activo y/o correo con la solicitud del reconocimiento contable</t>
  </si>
  <si>
    <t xml:space="preserve">Revisar y actualizar los acuerdos de confidencialidad extendiendo a los códigos fuente y ejecutables del software desarrollado localmente. </t>
  </si>
  <si>
    <t>El Gestor de proyectos  sistemas de información  trimestralmente verifica que se cumpla con los procedimientos de desarrollo de software y gestión de proyectos de software y la generación de los entregables respectivos con el objetivo de garantizar que los productos de software cumplan los requerimientos y expectativas de los usuarios. En caso de identificar desviaciones debe solicitar a los gerentes de los proyectos y líderes de desarrollo de software la aplicación de los procedimientos y emisión de sus entregables. Como resultado se genera acta con la verificación de los soportes de cumplimiento de los procedimientos de desarrollo y gestión de proyectos, y correos de solicitud de cumplimiento de los procedimientos en caso de desviación</t>
  </si>
  <si>
    <t xml:space="preserve">Revisar y actualizar los estudios previos/obligaciones contractuales para los colaboradores que tienen rol de desarrollador y participación en equipos de desarrollo de software. </t>
  </si>
  <si>
    <t>El líder de uso y apropiación trimestralmente verifica que se ejecuten acciones de uso y apropiación sobre el software desarrollado localmente con el objetivo de garantizar que los productos de software se usen adecuadamente. En caso de identificar desviaciones debe solicitar la inclusión de los desarrollos de software a las actividades de uso y apropiación. Como resultado se genera acta o reporte con la verificación de ejecución de actividades de uso y apropiación de los productos de software realizados localmente</t>
  </si>
  <si>
    <t>El Gestor  de proyectos sistemas de información y el oficial de seguridad  trimestralmente verifica que todos los funcionarios y contratistas que participan en proyectos de desarrollo de software hayan firmado los acuerdos de confidencialidad con el objetivo de garantizar la protección de reserva de los código fuente y ejecutables del software desarrollado localmente en la Unidad. En caso de identificar desviaciones debe solicitar el diligenciamiento de los acuerdos de confidencialidad pendientes por diligenciar. Como resultado se genera acta con la revisión de los acuerdos diligenciados y correos con la solicitud de diligenciamiento de los pendientes de trámite</t>
  </si>
  <si>
    <t>El Gestor de proyectos  sistemas de información  de acuerdo al plan y por demanda verifica la realización del contrato de cesión de derechos de autor de software a favor de la Unidad con el objetivo de garantizar la protección de propiedad y derechos del software desarrollado localmente en la Unidad. En caso de identificar desviaciones debe solicitar al desarrollador o equipo de desarrollo el diligenciamiento del contrato de cesión de derechos. Como resultado se genera acta con la revisión de los contratos de cesión de derechos diligenciados y correos con la solicitud de diligenciamiento de los pendientes de trámite</t>
  </si>
  <si>
    <t>MISIONALES</t>
  </si>
  <si>
    <t>RD-CR-RG-1</t>
  </si>
  <si>
    <t xml:space="preserve">Posibles demoras en el trámite restitutivo de derechos territoriales étnicos y la adopción de caracterizaciones e inscripciones en el registro programadas para la vigencia por cada territorial, por la falta de talento humano para atender los requerimientos misionales y debido a Inicio tardío en los procesos de orden administrativo por aspectos logísticos (Operador, OPS), así como las condiciones de seguridad o ambientales adversas para salidas a campo. </t>
  </si>
  <si>
    <t xml:space="preserve">Falta de talento humano para atender los requerimientos misionales. </t>
  </si>
  <si>
    <t>Inicio tardío en los procesos de orden administrativo por aspectos logísticos (Operador, OPS).
Inobservancia 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</si>
  <si>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Se genera una demora en la gestión de la etapa administrativa de la gestión de los derechos territoriales étnicos.</t>
  </si>
  <si>
    <t>El Líder administrativo y contractual del Nivel Central, Verifica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Si se presentan desviaciones se informan al Director de Asuntos étnicos para establecer la medidas necesarias. Como evidencia del control es el Informe de seguimiento presupuestal y Plantilla para el seguimiento del Proyecto de Inversión dispuesta por OAP.</t>
  </si>
  <si>
    <t xml:space="preserve">Requerimiento escrito al respectivo Director Territorial para que  se ejecute el producto oportunamente y/ solicitar reporte sobre las causas de la demora y las acciones emprendidas. En caso de omisión de respuesta del DT, se reportará a la Subdirección  </t>
  </si>
  <si>
    <t>El Profesional de Planeación, Valida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Si se presentan desviaciones se  realiza una retroalimentación desde el nivel central al territorial.Como evidencia del control es el Tablero de control de seguimiento al reporte de plan de acción o Reportes de plan de acción de Strategos</t>
  </si>
  <si>
    <t>Realizar capacitación en las direcciones territoriales sobre la importancia de la gestión documental de la DAE y de llevar el registro de los documentos de los expedientes.</t>
  </si>
  <si>
    <t>El Facilitador de Planeación DAE, verifica la adopción de los actos administrativos RD-CR-MO-03 o RD-CR-MO-09 de suspensión de trámite administrativo cuando se afecten los plazos definidos por   factores asociados a la seguridad e integridad o cualquier otro factor relacionado con las comunidades étnicas beneficiarias, por parte de facilitador de planeación de DAE, cada vez que se presente la situación. En caso de desviaciones se subsanan en el acto admnistrativo. Como evidencia del control es el acto administrativos de suspensión. 
RD-CR-MO-03 o RD-CR-MO-09</t>
  </si>
  <si>
    <t xml:space="preserve">Realizar capacitaciones sobre lineamientos de la etapa administrativa en la fase de caracterización. </t>
  </si>
  <si>
    <t>Las Coordinaciones y líder administrativo y financiero realiza la revisión técnica de los productos elaborados en el marco de los convenios firmados con las comunidades étnicas, por parte de las coordinaciones y el lider administrativo y Contractual, cada vez que se presente la situación. En caso de desviaciones se devuelve el producto para ajustes. Como evidencia del control es el Correo electrónico con el visto bueno al producto Ó Producto final</t>
  </si>
  <si>
    <t>RD-CR-RG-2</t>
  </si>
  <si>
    <t>Posible deficiencia en la calidad de la información en el estudio preliminar o informes de caracterización por falta de Talento Humano para atender los requerimientos misionales y debido a la  Inobservancia por parte de las DT de los lineamientos de elaboración de documentos técnicos que generan productos sin las condiciones de calidad requeridas.</t>
  </si>
  <si>
    <t>Inobservancia y/o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</si>
  <si>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documentos sin las condiciones técnicas y de calidad necesarias.</t>
  </si>
  <si>
    <t>Revisar que el componente catastral  de los informes de caracterización de afectaciones territoriales cuenten con los requisitos de calidad y oportunidad, para Garantizar que el informe cuente con la información necesaria para la identificación del territorio étnico, se realiza por parte del profesional catastral étnico del caso y cada vez que se presente la situación. Como evidencia del control son los Correos electrónicos con las revisiones correspondientes.</t>
  </si>
  <si>
    <t>Realizar socializaciones sobre los lineamientos catastrales y generales a los equipos étnicos del nivel central y territorial</t>
  </si>
  <si>
    <t>Realizar el registro de productos no conformes (prevención)</t>
  </si>
  <si>
    <t>Realizar el registro de productos no conformes (Correctivos)</t>
  </si>
  <si>
    <t>RD-CR-RSI-3</t>
  </si>
  <si>
    <t>Posibilidad de perdida de disponibilidad y confidencialidad de información almacenada en carpetas compartidas o repositorios de información en OneDrive por mala asignación de permisos en carpetas compartidas y  de OneDrive debido a procedimientos manuales en la asignación de los mismos, provocando una posible perdida reputacional o económica de la entidad.</t>
  </si>
  <si>
    <t>Mala asignación de permisos en carpetas compartidas y de OneDrive</t>
  </si>
  <si>
    <t>Asignación de permisos se hace de forma manual.</t>
  </si>
  <si>
    <t xml:space="preserve">Perdida de información importante para la gestión de la restitución de los derechos territoriales. </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</si>
  <si>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</si>
  <si>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sensibilización en compañía de la Oficina de tecnologías de la información sobre la importancia de la seguridad informática.</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</si>
  <si>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es la Solicitud de Back Up por medio de GLPI a la OTI. </t>
  </si>
  <si>
    <t>Realizar socialización sobre creación y verificación de Back Up, para información en carpetas compartidas y repositorios de OneDrive.</t>
  </si>
  <si>
    <t>Solicitar a la OTI la restauración de los Back Up de acuerdo al procedimiento GT-PR-23.</t>
  </si>
  <si>
    <t>RD-CR-RF-4</t>
  </si>
  <si>
    <t xml:space="preserve">
Posibildad   de efecto
dañoso sobre los recursos 
públicos por  por parte de los Proveedores Especiales definidos en el Protocolo de Gestión de Eventos por el uso indebido de recursos del operador logístico para la realización de eventos que no aportan a la misionalidad de la entidad, debido a la falta de apropiación de herramientas de seguimiento efectivas que permitan detectar y corregir desviaciones en tiempo real.</t>
  </si>
  <si>
    <t xml:space="preserve">Por el uso indebido de recursos del operador logístico para la realización de eventos que no aportan a la misionalidad de la entidad. </t>
  </si>
  <si>
    <t xml:space="preserve">
Debido a la poca apropiación de las herramientas de seguimiento al plan de acción y seguimiento a compromisos tanto internos como externos.
Debido a falta de apropiación de herramientas de seguimiento efectivas que permitan detectar y corregir desviaciones en tiempo real.</t>
  </si>
  <si>
    <t>Uso indebido de recursos públicos</t>
  </si>
  <si>
    <r>
      <t xml:space="preserve">El Profesional  de Eventos de la DAE, previa validación del Director Territorial, para el caso de los eventos con tipología Étnica </t>
    </r>
    <r>
      <rPr>
        <u val="double"/>
        <sz val="11"/>
        <color rgb="FF000000"/>
        <rFont val="Arial"/>
        <family val="2"/>
      </rPr>
      <t>previa validación del Director de Asuntos Étnico</t>
    </r>
    <r>
      <rPr>
        <sz val="11"/>
        <color rgb="FF000000"/>
        <rFont val="Arial"/>
        <family val="2"/>
      </rPr>
      <t>s, realiza cada vez que se requiera la ejecución de un evento la verificación que el valor de este sea razonables, se realiza el control en el diligenciamiento completo de los formatos CO-FO-10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no conformes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Estos controles se evidencian en los siguientes formatos
CO-FO-10
CO-FO-11
Documentos anexos 
Correos electrónicos</t>
    </r>
  </si>
  <si>
    <t>Realizar socialización sobre la gestión de eventos étnicos</t>
  </si>
  <si>
    <t>Verificar que el evento que se programa este acorde con las metas del plan de acción étnico en materia de caracterización de afectaciones territoriales  y/o labores misionales propias de la dependencia. Se realiza mediante la verificación y firma del formato CO-FO-10 y lo realiza el facilitador de planeación étnico.</t>
  </si>
  <si>
    <t>Sensibilización y socialización sobre las acciones del plan de acción y proyecto de inversión étnico</t>
  </si>
  <si>
    <t>Realizar el seguimiento cuatrimestral de la ejecución presupuestal del operador logístico de la Dirección de Asuntos Étnicos, lo realizan el profesional de eventos y el facilitador de planeación de la DAE y como evidencia se entrega el tablero de control de ejecución de eventos.</t>
  </si>
  <si>
    <t>Generar las alertas correspondientes a Oficina Asesora de Planeación, Subdirección General y Control Interno.</t>
  </si>
  <si>
    <t>RD-EJ-RG-1</t>
  </si>
  <si>
    <t>Posibilidad de deficiente y/o tardía elaboración y presentación de la demanda y gestión judicial de restitución de derechos territoriales étnicos programada para la vigencia debido a Falta de capacidad de personal para atender los requerimientos misionales y judiciales y debido a Inicio tardío en los procesos de orden administrativo por aspectos logísticos (Operador, OPS)</t>
  </si>
  <si>
    <t xml:space="preserve">Falta de capacidad de personal para atender los requerimientos misionales. </t>
  </si>
  <si>
    <t>Inicio tardío en los procesos de orden administrativo por aspectos logísticos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</si>
  <si>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sin las condiciones técnicas y de calidad necesarias.</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</si>
  <si>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la verificación la realiza el Líder administrativo y contractual del Nivel Central y Como evidencia del control es Informe de seguimiento presupuestal y Plantilla para el seguimiento del Proyecto de Inversión dispuesta por OAP.</t>
  </si>
  <si>
    <t>Sensibilizar mediante estrategias de comunicación, la necesidad y obligatoriedad de reportar los productos no conformes, con el fin de detectar causas generales que sean posibles abordar desde estrategias de mejoramiento.</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</si>
  <si>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en caso de desviación se realiza retroalimentación por parte del nivel central. Como evidencia del control es el Tablero de control de seguimiento al reporte de plan de acción o reportes de plan de acción de Strategos</t>
  </si>
  <si>
    <t xml:space="preserve">Requerimiento escrito al Director Territorial respectivo para que  se ejecute el producto oportunamente y/ solicitar reporte sobre las causas de la demora y las acciones emprendidas. En caso de omisión de respuesta del DT, se reportará a la Subdirección  </t>
  </si>
  <si>
    <t>Realizar acompañamiento a las direcciones territoriales en la realización y revisión de los productos de la demanda, con el proposito de verificar que los borradores de demanda cumplan con la estructura del documento y siguiendo los lineamientos establecidos desde la Dirección de Asuntos Étnicos, se realiza por parte de las coordinaciones de la DAE y cada vez que se realice un borrador de la demanda. Si hay desviaciones se realiza el registro de salidas no conformes. Como evidencia del control es el Correos electrónicos ó registros en el módulo de salidas no conformes.</t>
  </si>
  <si>
    <t>RD-EJ-RG-2</t>
  </si>
  <si>
    <t>Posibilidad de que los jueces o magistrados de restitución rechacen o inadmitan las demandas de restitución de derechos territoriales presentadas por la URT, lo que generaría situaciones procesales, trámites y/o decisiones  judiciales que puedan afectar el ejercicio y el goce de derechos, debido a falta de diligencia y cuidado del personal en el trámite judicial.</t>
  </si>
  <si>
    <t xml:space="preserve">Posibilidad de rechazo o inadmisión de la demanda de restitución de derechos territoriales por parte de los jueces. </t>
  </si>
  <si>
    <t>Inicio tardío en los procesos de orden administrativo por aspectos logísticos (Operador, OPS).
Dilación, falta de diligencia y cuidado  del personal en el trámite judicial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</si>
  <si>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generar demoras en la gestión de la etapa judiciual en detrimento de las comunidades étnicas y sus intereses en la gestión de restitución de derechos territoriales. </t>
  </si>
  <si>
    <t>Realizar el seguimiento a la etapa judicial a cargo del profesional jurídico asignado y a través  de las matrices dispuestas para ello, con el propósito de realizar el seguimiento a las ordenes propias de la etapa judicial y cada vez que se presente la situación. En caso de desviación se realizan las correciones. Como evidencia del control es el reporte de las matrices de seguimiento a la etapa Judicial.</t>
  </si>
  <si>
    <t>Realizar socialización de refuerzo en el uso de la matrices de seguimiento a etapa judicial.</t>
  </si>
  <si>
    <t xml:space="preserve">Reportar la realización de los eventos de las audiencias de seguimiento de la etapa judicial a cargo del facilitador de planeación de DAE, con el propósito de verificar la realización de las audiencias de seguimiento, cada vez que esto suceda. Si hay desviación se debe legalizar el evento. Como evidencia del  control se adjunta la legalización de los eventos. </t>
  </si>
  <si>
    <t>Subsanar la demanda inadmitida en los términos que pide el juez o jueza</t>
  </si>
  <si>
    <t>Verificar los tiempos de la etapa judicial de cada caso, con el fin de que si se detectan dilaciones y se creen solicitudes de celeridad, a cargo de los profesionales  jurídicos asignados a cada caso y cada vez que se presente la situación. Si hay desviaciones se deben enviar los memoriales de impulso a los jueces. Como evidencia del control se deben remitir los memoriales de impulso realizada en los procesos judiciales.</t>
  </si>
  <si>
    <t>RD-EJ-RSI-3</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</si>
  <si>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</si>
  <si>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capacitación sobre creación y verificación de Back Up, para información en carpetas compartidas y repositorios de OneDrive.</t>
  </si>
  <si>
    <t>RD-EJ-RF-4</t>
  </si>
  <si>
    <t>Posibildad de aprovechamiento lucrativo por parte de los Proveedores Especiales definidos en el Protocolo de Gestión de Eventos en el marco de la ejecución del contrato de Operador Logístico de eventos en la URT</t>
  </si>
  <si>
    <t xml:space="preserve">Posible uso indebido de recursos del operador logístico para la realización de eventos que no aportan a la misionalidad de la entidad. </t>
  </si>
  <si>
    <t>Poca apropiación de las herramientas de seguimiento al plan de acción y seguimiento a compromisos tanto internos como externos.</t>
  </si>
  <si>
    <t>El Responsable del Evento, previa validación del Director Territorial, para el caso de los eventos con tipología Étnica previa validación del Director de Asuntos Étnicos, realiza cada que se requiera la ejecución de un evento verificación que el valor de este sea razonables, se realiza el control en el diligenciamiento completo de los formatos 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anormales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el evento. Estos controles se evidencian en los siguientes formatos
CO-FO-10
CO-FO-11
Documentos anexos 
Correos electrónicos</t>
  </si>
  <si>
    <t>Realizar capacitación sobre la gestión de eventos étnicos-</t>
  </si>
  <si>
    <t>Verificar que el evento que se programa este acorde con las metas del plan de acción étnico en materia de radicación de demandas o cumplimiento de ordenes judiciales y labores misionales propias de la dependencia. Se realiza mediante la verificación y firma del formato CO-FO-10 y lo realiza el facilitador de planeación étnico.</t>
  </si>
  <si>
    <t>Sensibilización y capacitación sobre las acciones del plan de acción y proyecto de inversión étnico</t>
  </si>
  <si>
    <t>RD-MP-RG-1</t>
  </si>
  <si>
    <t>Posibles demoras en la adopción de estudios preliminares y radicación de medidas cautelares programadas para la vigencia.</t>
  </si>
  <si>
    <t>Retraso en la gestión de la restitución dederechos territoriales de las comunidades étnicas priorizadas durante la vigencia.</t>
  </si>
  <si>
    <t>Se realiza una validación Cuatrimestral de actos administrativos de adopción de Estudio Preliminar que recomiendan medidas cautelares y a los oficios de solicitudes de medidas cautelares,  se realiza por parte del facilitador de planeación de la DAE con el propósito de verificar cuales Estudios Preliminares recomiendan medidas cautelares,  se realiza por medio de la verificación de actos administrativos adoptados. Como evidencia  se adjuntan los siguientes soportes: Oficios de solicitudes en caso de existir,  RD-MP-MO-09, RD-MP-MO-12 , RD-MP-MO-13, Actos administrativos de adopción de estudio preliminar que recomiendan medidas cautelares</t>
  </si>
  <si>
    <t>Socializar semestralmente a los equipos étnicos territoriales respecto al procedimiento  RD-MP-PR-01 ELABORACIÓN Y PRESENTACIÓN DE MEDIDAS CAUTELARES</t>
  </si>
  <si>
    <t>Se determina la procedencia de la medida cautelar con la recolección y triangulación de información por parte de Profesional Jurídico étnico, cada vez que se presente la solicitud con el propósito de determinar la viabilidad de las medidas cautelares de acuerdo con lo establecido en el procedimiento RD- MP-PR-01 ELABORACIÓN Y PRESENTACIÓN DE MEDIDAS CAUTELARES para que quede debidamente documentada el análisis de viabilidad de la medida cautelar. . Como evidencia son los Acto administrativo RD-MP-MO-15,  RD-MP-MO-16, RD-MP-FO-06, RD-MP-FO-13</t>
  </si>
  <si>
    <t>Requerimiento escrito al Director Territorial respectivo para que  se ejecute el producto oportunamente y/ solicitar reporte sobre las causas de la demora y las acciones emprendidas. En caso de omisión de respuesta del DT, se reportará a la Subdirección General</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</si>
  <si>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Como evidencia es el Informe de seguimiento presupuestal y la plantilla para el seguimiento del Proyecto de Inversión dispuesta por OAP.</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</si>
  <si>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Como evidencia son los Tablero de control de seguimiento al reporte de plan de acción o reportes de plan de acción de Strategos</t>
  </si>
  <si>
    <t xml:space="preserve">Solicitar la información necesaria a las entidades para realizar el estudio preliminar  según lo estipulado en los procedimientos RD-MP-PR-05 ELABORAR ESTUDIOS PRELIMINARES DE TERRITORIOS COLECTIVOS DE PUEBLOS Y COMUNIDADES INDÍGENAS Y RD-MP-PR-06 ELABORAR ESTUDIOS PRELIMINARES DE TERRITORIOS DE COMUNIDADES NEGRAS, AFROCOLOMBIANAS, RAIZALES Y PALENQUERAS,  se realiza por parte de los Profesionales jurídicos de las direcciones territoriales cada vez que se realice un estudio Preliminar  y mediante oficio de solicitud a las entidades.
Como evidencia se deben adjuntar los oficios enviados a las entidades o lista con la relación de los mismos. </t>
  </si>
  <si>
    <t>Verificar el oportuno diligenciamiento de los formatos de seguridad para salidas a campo que requieran realizar los equipos étnicos, se realiza por parte del director territorial con el fin de reducir eventos de afectación a la integridad de dichos equipos y las comunidades y se verifica por medio de correos electrónicos o los formatos diligenciados. Si se presentan desviaciones se subsanan de acuerdo al caso. Como evidencia del control Correos electrónicos.
Ó Formato diligenciado</t>
  </si>
  <si>
    <t>RD-MP-RSI-2</t>
  </si>
  <si>
    <t>Inadecuada asignación de permisos en carpetas compartidas y de OneDrive</t>
  </si>
  <si>
    <t>La asignación de permisos se hace de forma manual.</t>
  </si>
  <si>
    <t>Los líderes étnicos y /o coordinadores, verifican, semestralmente, que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Correo electrónico con captura de pantalla de los permisos asignados.</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</si>
  <si>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Solicitud de Back Up por medio de GLPI a la OTI. </t>
  </si>
  <si>
    <t>Realizar  socialización sobre creación y verificación de Back Up, para información en carpetas compartidas y repositorios de OneDrive.</t>
  </si>
  <si>
    <t>RD-RE-RG-1</t>
  </si>
  <si>
    <t>Posibles demoras en el trámite de protección preventiva de comunidades indígenas, por la falta de capacidad de personal para atender los requerimientos misionales y/o inobservacia de lineamientos misionales.</t>
  </si>
  <si>
    <t>Inicio tardío en los procesos de orden administrativo por aspectos logisticos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</si>
  <si>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afectar el acceso oportuno a los derechos de las comunidades étnicas al generar demoras en el trámite de protección preventiva </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</si>
  <si>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t>
  </si>
  <si>
    <t>Socializar las actualizaciones documentales que se realicen durante el año y de acuerdo a las dinamicas del proceso</t>
  </si>
  <si>
    <t xml:space="preserve">Gestionar la información con las comunidades y con las entidades competentes en aras de documentar las afectaciones territoriales, de conformidad con el artículo 149 del Decreto Ley 4633 de 2011, mediante el formato GD-FO-14 Oficio y a cargo del profesional </t>
  </si>
  <si>
    <t>Realizar socializaciones en las direcciones territoriales sobre la importancia de la gestión documental de la DAE y de llevar el registro de los documentos de los expedientes.</t>
  </si>
  <si>
    <t>Elaborar el acto administrativo RD-RE-MO-06 ACTO ADMINISTRATIVO QUE DECIDE SOBRE UN DESISTIMIENTO EXPRESO DE LA SOLICITUD DE PROTECCIÓN PREVENTIVA DE COMUNIDADES INDÍGENA  cuando las comunidades manifiesten de manera libre, inequívoca y voluntaria manifieste su deseo de desistir a la solicitud de protección preventiva de derechos territoriales, se debe dejar constancia mediante declaración o documento en el expediente, lo realiza el profesional juridico.</t>
  </si>
  <si>
    <t>RD-RE-RSI-2</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</si>
  <si>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t>
  </si>
  <si>
    <t>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t>
  </si>
  <si>
    <t>GESTIÓN PARA EL CUMPLIMIENTO DE PROVIDENCIAS DE RESTITUCIÓN</t>
  </si>
  <si>
    <t>PF-CS-RG-2</t>
  </si>
  <si>
    <t>Posibilidad de perdida reputacional por el no cumplimiento de las medidas posfallo emitidas en las providencias de restitución de tierras dirigidas a la Unidad, debido a la falta de gestión para el cumplimiento de las mismas.</t>
  </si>
  <si>
    <t xml:space="preserve">
1. Falta de control y seguimiento a al cumplimiento de las medidas posfallo.
2. Falta de gestión en las actividades requeridas para el cumplimiento de las órdenes. 
3. Debilidades en el impulso procesal 
4. Falta de comunicaciones a los despachos de las gestiones adelantadas por la Unidad para el cumplimiento de las órdenes</t>
  </si>
  <si>
    <t xml:space="preserve">
1. Debilidades en la gestión requerida para el cumplimiento por parte de entidades externas
2. Falta de asignación de recursos presupuestales necesarios para el cumplimiento de las medidas posfallo</t>
  </si>
  <si>
    <t xml:space="preserve">Verificar que las medidas posfallo emitidas en las providencias judiciales estén acorde a lo solicitado en la etapa judicial (demandas presentadas) y en caso de encontrar inconsistencias solicitar aclaración o corrección al Juez o Magistrado dentro del término previsto para ello. </t>
  </si>
  <si>
    <t>Remitir reporte a las direcciones territoriales con el avance en el cumplimiento de los indicadores a cargo de los profesionales en la dirección territorial respecto al procedimiento PF-CS-PR-18</t>
  </si>
  <si>
    <t xml:space="preserve">Verificar que se realice el análisis de la sentencias de manera oportuna </t>
  </si>
  <si>
    <t>Presentar la proyección de recursos presupuestales necesarios para dar cumplimiento a las órdenes dirigidas ala Unidad. Así mismo, realizar las solicitudes de recursos requeridos para la vigencia, así como mensualmente en el PAC para el cumplimiento de las órdenes a cargo de la Unidad.</t>
  </si>
  <si>
    <t>Verificar las fichas de inversión aprobadas para cada vigencia y el Plan Anual de Adquisiciones con el fin de determinar los recursos asignados para el cumplimiento de las órdenes  judiciales a cargo de la Unidad.</t>
  </si>
  <si>
    <t xml:space="preserve">Convocar y desarrollar mesas de seguimeinto con las direcciones territoriales para hacer seguimiento al estado de cumplimiento de las medidas posfallo y generar recomendaciones y estrategias para avanzar en el cumplimiento efectivo de las órdenes. </t>
  </si>
  <si>
    <t xml:space="preserve">Monitorear el cumplimiento de las medidas posfallo dirigidas  a la Unidad, a través del seguimiento que se realiza en las "Bases de Gestión para el cumplimiento". </t>
  </si>
  <si>
    <t>Radicar informe detallado por despacho judicial con copia a la procuraduría mediante el cual se muestren los resultados alcanzados, las gestiones adelantadas o impulsos judiciales efectuados para el cumplimiento de las órdenes, así como lo dificultades o limitaciones para el cumplimiento y recomendaciones o ruta de trabajo a seguir</t>
  </si>
  <si>
    <t>Monitorear la ejecución de los recursos asignados para el cumplimiento de las medida posfallo a cargo de la URT mediante las herramientas diseñadas para tal fin.</t>
  </si>
  <si>
    <t>PF-CS-RG-3</t>
  </si>
  <si>
    <t>Posibilidad de pérdida reputacional y/o economica por la falta de planeación y ejecución de proyectos productivos debido al no cumplimiento de los requisitos en las fases de diseño e implementación del proyecto productivo.</t>
  </si>
  <si>
    <t>1.Falencias en la ejecución de las actividades propias de las etapas de la fase de diseño de los proyectos productivos familiares
2. Falta de seguimiento, monitoreo, vigilancia y acompañamiento a la  ejecución de los proyectos productivos estratégicos en la URT.</t>
  </si>
  <si>
    <t>1, Falta de verificación en el cumplimiento de los requisitos de ingreso y de los aspectos tecnicos              
2. Falencias en la revisión y verificación del proyecto productivo en la mesa de viabilidad</t>
  </si>
  <si>
    <t>Realizar Mesas de Validación de los proyectos productivos diseñados por los profesionales en cada  territorio, verificando el cumplimiento de los requistos contemplados en las  diferentes etapas del diseño</t>
  </si>
  <si>
    <t xml:space="preserve">Adelantar dentro de la oportunidad las mesas técnicas de PPF diseñados y formulados </t>
  </si>
  <si>
    <t xml:space="preserve">Realizar las mesas de Monitoreo que se adelanten las Mesas de  Seguimiento a la implementación de los proyectos productivos verificando el cumplimiento mediante el acompañamiento técnico integral a las familias benficiarias de los mismos. </t>
  </si>
  <si>
    <t>En caso de materializarse el riesgo con afectación económica se comunica la situación a la Dirección Jurídica y a control interno para que se tomen las acciones pertinentes y se compulsen copias a la Fiscalia.
En caso que se materialice con afectación únicamente en relación al diseño del PP, se revisa desde el punto de vista jurídico para efectuar una reformulación al proyecto</t>
  </si>
  <si>
    <t xml:space="preserve">Verificar el desarrollo de los Comités de Seguimiento de los proyectos productivos en las direcciones territoriales, para así identificar casos y estrategias que permitan impulsar el cumplimiento de las medidas posfallo asociadas a los proyectos productivos.  </t>
  </si>
  <si>
    <t>PF-CS-RG-4</t>
  </si>
  <si>
    <t xml:space="preserve">Posibilidad de afectación económica y/o reputacional por pérdida de información, parcial o total de los expedientes del GFRTT  debido a  la no conformación y/o actualización de los mismos. </t>
  </si>
  <si>
    <t xml:space="preserve">1, Expedientes no conformados físicamente, de acuerdo con las Tablas de Retención Documental del GFRTT
2, Expedientes desactualizados.
3, Incumplimientos en la entrega de Traslados Documentales. </t>
  </si>
  <si>
    <t>1, Falta de conocimiento sobre la normatividad interna y externa en la conformación de los archivos relativos al GFRTT
2, Falta de cumplimiento por parte de la responsabilidad en la conformación de los expedientes de PosFallo por los servidores y servidoras (contratistas, funcionarios y funcionarias) del GFRTT
3, Falta de apropiación y desconocimiento en la aplicación de la guía de conformación de expedientes por parte de los servidores (contratistas, funcionarios y funcionarias) del GFRTT</t>
  </si>
  <si>
    <t>Adelantar el proceso de conformación y actualización de los expedientes de PosFallo que se encuentran registrados en las TRD convalidadas por el AGN. Para llevarlo a cabo debe atender los lienamientos que desde la Guia para la Conformación y Organización de Expedientes en Cumplimiento de Órdenes Judiciales de Restitución de Tierras, así como los lineamientos que se reciben del proceso de Gestión Documental del nivel central frente a la función archivística. En caso de desviaciones se informa al coordinador del proceso indicando el estado actual del proceso, como evidencia de lo antes descrito se cuenta con los inventarios documentales del GFRTT.</t>
  </si>
  <si>
    <t>Solicitar acompañamiento por parte de los enlaces del proceso de gestión Documental del nivel central en retroalimentación de la GD-GU-06, GD-FO-05,GD-FO-21  para fortalecer  el quehacer frente a la función archivística y la responsabilidada que tienen los servidores y servidoras en su ejecucución, con el fin de atender la Ley General de Archivos y demás normas complementarias a esta, asegurando con esto  que el acervo documental del GFRTT se conforme bajo el debido proceso, administrativo, normativo y técnico documental.</t>
  </si>
  <si>
    <t>Verificar mensualmente de acuerdo con las ordenes registradas como series documetales en las TRD Versión 1 y 2, que se estén efectuando los traslados documentales por Direccion Territorial y nivel central . En caso de evidenciarse desviaciones de acuerdo con lo establecido en la GD-GU-06 se informa al coordinador del proceso indicando el estado de envio de información de las áreas productoras..Como evidencia de ejecución del control  se cuenta con el reporte de cumplimiento de traslados documentales y en caso de inconsistencia el envío del informe a la coordinación.</t>
  </si>
  <si>
    <t>Solicitar piezas técnicas documentales que permitan retroalimentar el debido proceso en el trámite de elaaboración deL GD-FO-21 para que se trasladen los documentos a gestión Documental y se atiendan las actividades de conformación y completitud respectivas y con base en ello se mitique el riesgo de pérdida de información, sea esta parcial o total.</t>
  </si>
  <si>
    <t>Se efectúa las actividades establecidas en el procedimiento GD-PR-07 RECONSTRUCCIÓN TOTAL O PARCIAL DE EXPEDIENTES</t>
  </si>
  <si>
    <t>PF-CS-RF-5</t>
  </si>
  <si>
    <t xml:space="preserve">
Posibilidad de efectos dañosos sobre los recursos públicos por incumplimiento del marco nomativo  debido a fallas en la planeación, ejecución, control y seguimiento de los recursos asignados y en administración
</t>
  </si>
  <si>
    <t>1. Debilidades en el seguimiento del componente tecnico y jurídico de las instrucciones a la Fiducia
2. Debilidad en las herramientas para la planeación, ejecución y control de los recursos asignados
3. Debilidad en las mesas de trabajo interdiscinarias del GFRTT para la planeación, ejecución y control de los recursos públicos</t>
  </si>
  <si>
    <t>1. Alta concentración de tareas en algunos colaboradores del GFRTT
2.Insuficiente implementación y socialización de las actividades establecidas en los procedimientos internos del GFRTT
3. Presupuesto insuficiente para la implementación de herramientas tecnológicas</t>
  </si>
  <si>
    <t>Verificar y hacer seguimiento del diligenciamiento del formato PF-CS-FO-111 con el cual se efectua la verificación al cumplimiento del componente técnico de las instrucciones a la Fiducia</t>
  </si>
  <si>
    <t>Efectuar Mesa interdisciplaria para la planeación de los recursos requeridos para e cumplimiento de ordenes</t>
  </si>
  <si>
    <t xml:space="preserve">Efectuar comunicación interna  al área responsable en la URT para complusar copias a la Fiscalia </t>
  </si>
  <si>
    <t>PF-CS-RSI-6</t>
  </si>
  <si>
    <t>Perdida  de integridad, disponibilidad y/o confidencialidad de la información de los expedientes físicos posfallo a cargo de la URT, debido a degradación de los materiales por agentes físicos y químicos o acceso no autorizado a la información, causando perdida
reputacional para la Entidad</t>
  </si>
  <si>
    <t>1, Incidencia de factores ambientales como luz natural , luz artifical, temperatura y humedad relativa
2, Afetaciones por conatos de incendio
3, Acceso de personal no debidamente autorizado 
4, Afectaciones generadas por el hombre</t>
  </si>
  <si>
    <t xml:space="preserve">1, Falta de monitoreo y control a las condiciones ambientales
2, Incumplimiento en los lineamientos de la Entidad en relación a la autorización de acceso a los expedientes
3, Incumplimiento de los funcionarios responsables de lo establecido en el Numeral 6 del artículo ART 38 de la Ley 1952 de 2019 CGD "Custodiar y cuidar y conservar la documentación a su cargo, e impedir o evitar la sustracción, destrucción, ocultamiento o utilización indebidos".
 </t>
  </si>
  <si>
    <t>Verificar que se efectúe el diligenciamiento del formato GD-FO-39 con el fin de controlar el acceso a los expedientes Físicos ubicados en los despósitos de archivo de gestión</t>
  </si>
  <si>
    <t>Solicitar al GGDAMH la inclusión de los archivos de gestión del GFRTT al sistema integrado de conservación</t>
  </si>
  <si>
    <t>Verificar que se efectúe el diligenciamiento del formato GD-FO-37 con el fin de evidenciar que existe un control de limpieza y desinfección del espacio de archivo de gestión</t>
  </si>
  <si>
    <t>PF-CS-RSI-7</t>
  </si>
  <si>
    <t>Perdida  de integridad, disponibilidad y/o confidencialidad en la información contenida en las bases de datos de seguimiento al cumplimiento de las medidas posfallo a cargo de la URT ubicadas en la carpeta del servidor, debido a accesos y/o modificaciones no autorizadas, causando perdidas.
reputacional para la Entidad</t>
  </si>
  <si>
    <t>1. Acceso a usuarios no autorizados 
2. Asignación errada de los derechos de acceso. 
3. Manipulación, modificación o alteración sin autorización de la información registrada en las bases de datos. 
4. Ataque intencionado interno o  externo (Ingeniería social, Ciberataques, ciberterrorismo, hacktivismo)
6. Hurto o Robo de Información
7. Modificación no autorizada
8. Falta de conciencia acerca de la seguridad en la información</t>
  </si>
  <si>
    <t>1. Incumplimiento de los  procedimientos de control de acceso a la información establecidos por la OTI. 
2. Falta de ejecución de copias de respaldo de la información 
3. Ausencia de aplicación de actualizaciones de los usuarios autorizados para el ingeso.</t>
  </si>
  <si>
    <t>Verificar periodicamente los derechos de acceso de los usuarios a las carpetas donde se encuentren alojadas las bases de cumplimiento de las medidas posfallo. (9.2.5)</t>
  </si>
  <si>
    <t>Generar y enviar una pieza gráfica para los colaboradores del GFRTT vía correo electrónico en la cual se socialice los pasos a seguir para reportar incidentes de seguridad de la información de acuerdo con las políticas establecidas por la OTI</t>
  </si>
  <si>
    <t xml:space="preserve">Realizar, el seguimiento a las solicitudes de actualización de usuarios y acceso a las carpetas compartidas </t>
  </si>
  <si>
    <t>Validar que los backups que se realizan de la información de la carpeta compartida se generan de forma apropiada y los archivos restuarados son funcionales. (12.3.1)</t>
  </si>
  <si>
    <t xml:space="preserve">Solicitar periódicamente a la Oficina de Tecnologías de la Información realizar un back up de la información contenida en la carpeta compartida donde se encuentra las bases de gestión para el cumplimiento de las medidas posfallo. </t>
  </si>
  <si>
    <t>Realizar una muestra aleatoria de las entidades con la que se realiza intercambio de información, verifica que con cada una de estas existen los Acuerdos de intercambio de información. (13.2.2 y 13.2.4)</t>
  </si>
  <si>
    <t xml:space="preserve">Realizar seguimiento al cumplimiento del procedimiento GT-PT-03 "CIFRADO O DESCIFRADO DE INFORMACIÓN USANDO AXCRYPT" (10.1.1) verificando que la información enviada a entes externos cuenten los requisitos establecidos. </t>
  </si>
  <si>
    <t xml:space="preserve">Efectuar solicitud por GLPI para la restauración del bacK up mas reciente de la información </t>
  </si>
  <si>
    <t>RT-RG-RG-2</t>
  </si>
  <si>
    <t>Posibilidad de acción de tutela o requerimiento por otros mecanismos por la afectación al debido proceso ante el incumplimiento de términos procesales al no atender oportunamente las solicitudes de revocatoria directa de un acto administrativo y recursos de reposición interpuestos.</t>
  </si>
  <si>
    <t>Al no atender oportunamente las solicitudes de revocatoria directa de un acto administrativo y recursos de reposición ligadas al proceso.</t>
  </si>
  <si>
    <t>Por la afectación al debido proceso por el incumplimiento de términos procesales</t>
  </si>
  <si>
    <t>A parte de identificar el factor externo (causa inmediata) que me genera el impacto, determinar si frente a la identificación preliminar se genera o no una afectación (causa raíz)</t>
  </si>
  <si>
    <t>Hacer seguimiento a la  oportuna resolución de recursos de reposición interpuestos a los actos administrativos proferidos por la UAEGRTD.</t>
  </si>
  <si>
    <t xml:space="preserve">Analizar el caso para determinar si procede o no la revocatoria de la decisión administrativa, y establecer requiere elaboración o actualización de insumos. </t>
  </si>
  <si>
    <t>Hacer seguimiento a la oportuna resolución de solicitudes de revocatoria directa  presentadas por los solicitantes ante  los actos administrativos proferidos por la UAEGRTD.</t>
  </si>
  <si>
    <t>Dar respuesta a la acción de tutela en los términos definidos por la Constitución y la Ley.</t>
  </si>
  <si>
    <t>Sensibilizar a los profesionales jurídicos de las direcciones territoriales sobre la gestión que se debe adelantar a los recursos de reposición y a las solicitudes de revocatoria presentadas por parte ante la UAEGRTD</t>
  </si>
  <si>
    <t>RT-RG-RSI-3</t>
  </si>
  <si>
    <t xml:space="preserve">Perdida de la integridad de la información del Sistema de Registro de Tierras Despojadas y Abandonadas Forzosamente  por un cambio no autorizado, acción involuntaria o alteración del sistema en beneficio personal o de terceros. </t>
  </si>
  <si>
    <t>Borrado o cambios de la información contenida en los servidores
Daño de sistema operativo</t>
  </si>
  <si>
    <t>Personal interno y externo</t>
  </si>
  <si>
    <t>Perdida reputacional para la entidad o incluso poner en peligro la vida de las personas por la posible publicación de los datos personales y la información del proceso. (nuevo riesgo)</t>
  </si>
  <si>
    <t>La Subdirección General en coordinación con la Oficina de Tecnologías de la información adelantarán mínimos dos sensibilizaciones (1 por semestre) para fortalecer los conocimientos sobre el correcto uso del SRTDAF, la gestión integral de la información que reposa en el Sistema, a los profesionales misionales en las direcciones territoriales conocen los lineamientos básicos de operación del sistema.</t>
  </si>
  <si>
    <t>La Subdirección General verificará con la Oficina de Tecnologías de la Información que los perfiles de los usuarios tengan los permisos adeacuados para gestionar la información en el SRTDAF.</t>
  </si>
  <si>
    <t>Aplicar el procedimiento y dar cumplimiento a los lineamientos establecidos por la Oficina de Tecnologías de la Información mediante los memorandos interno OTI00180 de 2018, 00357 de 2018, 0037 de 2018  y la Circular OTI 0000 de 2018, que establecen las pautas para realizar ajustes y/o correcciones de información en el Sistema de Registro de Tierras Despojadas y Abandonadas Forzosamente - SRTDAF, de tal forma que se mantenga la propuesta de valor del servicio 5.2.1.1 Gestión de restitución de tierras – SRTDAF</t>
  </si>
  <si>
    <t>RT-RG-RSI-4</t>
  </si>
  <si>
    <t>Perdida de la confidencilidad, de la información de los activos de información del proceso de Registro, por acceso no autorizado que puede ocasionar pérdidas reputacionales o incluso puede poner en peligro la vida de las personas por la posible publicación de los datos personales y la información del proceso.</t>
  </si>
  <si>
    <t>acceso no autorizado a la carpeta compartida</t>
  </si>
  <si>
    <t>Desviaciones en el procedimiento de creación o actualización de usuarios y permisos en las carpetas compartidas.</t>
  </si>
  <si>
    <t>La información almacenada es muy sensible, contiene datos personales de ciudadanos en estado de vulnerabilidad</t>
  </si>
  <si>
    <t>El Jefe del Área crea el GLPI con la solicitud de la inclusión del usuario para que pueda acceder a la carpeta compartida definiendo el nivel de acceso a la información (lectura o modificación).</t>
  </si>
  <si>
    <t>La Subdirección General en coordinación con la Oficina de Tecnologías de la información adelantarán mínimos dos sensibilizaciones (1 por semestre) para fortalecer los conocimientos sobre el correcto uso del SRTDAF de los profesionales misionales en las direcciones territoriales conocen los lineamientos básicos de operación del sistema.</t>
  </si>
  <si>
    <t>La Subdirección General verificará con la Oficina de Tecnologías de la Información que se haya actualizado el directorio único de funcionarios y contratistas que cuentan con permisos para acceder y operar el SRTDAF.</t>
  </si>
  <si>
    <t>RT-JU-RG-1</t>
  </si>
  <si>
    <t>Posibilidad de incumplimiento de los términos  establecidos por los despachos especializados en restitución de tierras en las órdenes judiciales dirigidas a la URT, por dificultades en el recaudo de información, elaboración o actualización oportuna de los insumos requeridos por los jueces o magistrados, debido a la gestión de información solicitada a terceros, diligencias que requieren salidas a terreno o capacidad operativa de los profesionales designados.</t>
  </si>
  <si>
    <t>por dificultades en el recaudo de información, elaboración o actualización oportuna de los insumos requeridos por los jueces o magistrados</t>
  </si>
  <si>
    <t>debido a la gestión de información solicitada a terceros, diligencias que requieren salidas a terreno o capacidad operativa de los profesionales designados.</t>
  </si>
  <si>
    <t>Sancion por desacato</t>
  </si>
  <si>
    <r>
      <t xml:space="preserve">Realizar seguimiento al cumplimiento de los tiempos estipulados para la publicación de órdenes judiciales (publicación de edictos)
</t>
    </r>
    <r>
      <rPr>
        <sz val="11"/>
        <color rgb="FF000000"/>
        <rFont val="Arial"/>
        <family val="2"/>
      </rPr>
      <t>La Oficina Asesora de Comunicaciones atendiendo la solicitud de las direcciones territoriales realiza la publicación de contenidos para dar cumplimiento a una orden judicial, para la implementación de este control se debe aplicar RT-JU-PT-02 Notificaciones y publicaciones, en este orden de ideas la OAC debe realizar la publicación teniendo en cuenta los términos perentorios contemplados en la matriz de planificación del producto de etapa judicial. En caso de no adelantar la publicación se generan sanciones o desacatos a providencia judicial. La evidencia de la realización de este control es: Publicación del contenido</t>
    </r>
  </si>
  <si>
    <t xml:space="preserve">Socializar a los profesionales de la etapa judicial la importancia de cumplimiento de términos procesales y las implicaciones que esto tiene </t>
  </si>
  <si>
    <r>
      <t xml:space="preserve">Monitorear del cumplimiento de términos procesales del trámite judicial por medio del aplicativo PLANER.
</t>
    </r>
    <r>
      <rPr>
        <sz val="11"/>
        <color rgb="FF000000"/>
        <rFont val="Arial"/>
        <family val="2"/>
      </rPr>
      <t>El coordinador o líder de la etapa judicial de las direcciones territoriales de manera permanente, debe controlar el incumplimiento de términos procesales de las órdenes judiciales que hacen parte de la etapa judicial, verificando en el aplicativo (PLANNER) el cumplimiento oportuno de los términos procesales donde el juez haya requerido o donde se hayan tenido actuaciones judiciales durante el mes. En caso de no realizar esta verificación se generan sanciones o desacatos a providencia judicial y demoras en el trámite del proceso judicial. La evidencia de la realización de este control es: Captura de pantalla del Aplicativo (PLANNER)</t>
    </r>
  </si>
  <si>
    <t xml:space="preserve">Realizar seguimiento a los incidentes de desacato recibidos en el periodo y la respuesta oportuna dada por los abogados del caso </t>
  </si>
  <si>
    <t>Monitorear cumplimiento de términos de requerimientos catastrales por medio del aplicativo PLANER.</t>
  </si>
  <si>
    <r>
      <t xml:space="preserve">Realizar seguimiento al cumplimiento de los tiempos estipulados para las órdenes judiciales relacionadas con productos sociales a través de herramienta de seguimiento de acuerdo a las orientaciones estipuladas en el instructivo RT-JU-IN-02 sobre esta herramienta.
</t>
    </r>
    <r>
      <rPr>
        <sz val="11"/>
        <color rgb="FF000000"/>
        <rFont val="Arial"/>
        <family val="2"/>
      </rPr>
      <t>La coordinadora línea de seguimiento judicial de la Dirección Social de manera trimestral debe realizar el control sobre el incumplimiento de los términos procesales de las órdenes judiciales que se realizan a los profesionales sociales en territorio. A través de la revisión de las alertas que se emite en la APP de seguimiento judicial de la dirección social y con dicha información se envía trimestral un informe de seguimiento a las DT donde se brindan recomendaciones y alertas. En caso de observaciones se generan compromisos con los profesionales que estén generando el incumplimiento. La evidencia de la realización de este control es: Informes trimestrales de seguimiento a la gestión social judicial</t>
    </r>
  </si>
  <si>
    <t>RT-JU-RG-2</t>
  </si>
  <si>
    <t>Posibilidad de presentar demandas que desatienden los lineamientos críticos establecidos en la matriz de planificación de producto, por incumplimiento de los lineamientos vigentes, al existir problemas de calidad en los anexos o insumos que lo soportan.</t>
  </si>
  <si>
    <t>por incumplimiento de los lineamientos  vigentes</t>
  </si>
  <si>
    <t>al existir problemas de calidad en los anexos o insumos que lo soportan.</t>
  </si>
  <si>
    <t>Rechazo a la demanda presentada</t>
  </si>
  <si>
    <r>
      <rPr>
        <b/>
        <sz val="11"/>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1"/>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demandas con los vistos buenos</t>
    </r>
  </si>
  <si>
    <t>Atender las consultas realizadas por las direcciones territoriales  en relación al trámite judicial</t>
  </si>
  <si>
    <r>
      <rPr>
        <b/>
        <sz val="11"/>
        <color rgb="FF000000"/>
        <rFont val="Arial"/>
        <family val="2"/>
      </rPr>
      <t xml:space="preserve">Realizar revisión de proyectos de demandas en la calidad del contenido desde la dirección jurídica.
</t>
    </r>
    <r>
      <rPr>
        <sz val="11"/>
        <color rgb="FF000000"/>
        <rFont val="Arial"/>
        <family val="2"/>
      </rPr>
      <t xml:space="preserve">
La DIJUR mensualmente revisa el contenido y la calidad de los proyectos de demandas, con el fin de contribuir a que no se haga uso indebido u omisión de la información. Las direcciones territoriales remiten a la DIJUR la proyección de demandas y los equipos de nivel central realizan la respectiva revisión e informa a las direcciones territoriales sus respectivos comentarios para que estas efectúen los ajustes a que haya lugar  segun MC-IN-01 Instructivo de gestion de salidas no conformes. En caso de observaciones se realizan las correcciones respectivas de las demandas y se recomienda que dichas demandas sean radicadas una vez se encuentren conformes. La evidencia de la realización de este control es: Correo electrónico donde se informa a las territoriales los ajustes que  deben efectuarse a los proyectos de demandas, Matrices de revisión de proyectos de demanda</t>
    </r>
  </si>
  <si>
    <t>Seguimiento a los autos inadmisorios de las demandas presentadas por las direcciones territoriales</t>
  </si>
  <si>
    <t>RT-JU-RSI-4</t>
  </si>
  <si>
    <t xml:space="preserve">Posibilidad de pérdida de integridad, disponibilidad y confidencialidad de la los activos de información de la Direccion Juridica contenida en los servicios de TI debido al acceso para  consulta, divulgación, manipulación o eliminación de información por parte de personas no autorizadas,  pudiendo afectar la reputación institucional </t>
  </si>
  <si>
    <t xml:space="preserve">Acceso a consulta, divulgación, manipulación o eliminación de información por parte de personas no autorizadas. </t>
  </si>
  <si>
    <t>Falta de actualización y verificación de los usuarios y perfiles que tienen acceso a los servicios de TI del proceso de la Direccion Juridica</t>
  </si>
  <si>
    <t>Tecnología</t>
  </si>
  <si>
    <t>Afectación reputacional, debido al acceso no autorizado y disponibilidad de la información que se encuentra en custodia del proceso de la Direccion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</si>
  <si>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theme="1"/>
        <rFont val="Arial"/>
        <family val="2"/>
      </rPr>
      <t xml:space="preserve">
Enlace temas contractuales y administrativos de la direccion juridica, cuatrimestralmente debe identificar si hay colaboradores (</t>
    </r>
    <r>
      <rPr>
        <i/>
        <sz val="11"/>
        <color theme="1"/>
        <rFont val="Arial"/>
        <family val="2"/>
      </rPr>
      <t>contratistas, funcionarios</t>
    </r>
    <r>
      <rPr>
        <sz val="11"/>
        <color theme="1"/>
        <rFont val="Arial"/>
        <family val="2"/>
      </rPr>
      <t>) no autorizados con acceso a la carpeta compartida de red Z, para ello debe solicitar a la  OTI (</t>
    </r>
    <r>
      <rPr>
        <i/>
        <sz val="11"/>
        <color theme="1"/>
        <rFont val="Arial"/>
        <family val="2"/>
      </rPr>
      <t>Oficina de Tecnología de la Información</t>
    </r>
    <r>
      <rPr>
        <sz val="11"/>
        <color theme="1"/>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theme="1"/>
        <rFont val="Arial"/>
        <family val="2"/>
      </rPr>
      <t>Oficina de Tecnología de la Información)</t>
    </r>
    <r>
      <rPr>
        <sz val="11"/>
        <color theme="1"/>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</si>
  <si>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Realizar una jornada de fortalecimiento (uso y apropiación) enfocada en buenas prácticas de almacenamiento de información en OneDrive,  y carpetas de red oficiales</t>
  </si>
  <si>
    <t>RU-RG-2</t>
  </si>
  <si>
    <t>Posibilidad de Inadecuada aplicación de los lineamientos de calidad en los productos del proceso Rupta.</t>
  </si>
  <si>
    <t>por desconocimiento de aspectos operativos y conceptuales del proceso por parte de los profesionales que participan en este, así como, debido a información errada o precaria por parte de la persona solicitantes, imposibilidad de continuar con el tramite con ocasion a la ausencia de participacion del interesado o cambios en su información de contacto. También por información desactualizada o demora en la disposición de esta por parte de otras entidades</t>
  </si>
  <si>
    <t>debido al incumplimiento de los requisitos de calidad establecidos en la matriz de planificación del producto, detectados de manera preventiva o correctiva frente a los actos administrativos que hayan sido suscritos incumpliendo estos requisitos, generando la corrección.</t>
  </si>
  <si>
    <t>Afectación economica</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</si>
  <si>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</si>
  <si>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Realizar divulgación de la matriz de planificación de producto del proceso Rupta a las direcciones territoriales</t>
  </si>
  <si>
    <t xml:space="preserve">De acuerdo al plan de trabajo de cada Dirección Territorial,  los profesionales designados a Rupta de la Dirección Jurídica, realizan mesas de acompañamiento y seguimientos con la Direcciones territoriales </t>
  </si>
  <si>
    <t xml:space="preserve">Realizar revisión preventiva de los proyectos de resoluciones del proceso que se identificaron no conformes en la aplicación del control, validando que se hayan adoptado las correcciones </t>
  </si>
  <si>
    <t>Realizar revisión correctiva de las resoluciones del proceso identificadas como no conformes, con el fin de detectar las posibles acciones de mejora.</t>
  </si>
  <si>
    <t>RU-RSI-3</t>
  </si>
  <si>
    <t xml:space="preserve">Posibilidad de pérdida de integridad, disponibilidad y confidencialidad de la los activos de información de Rupta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</si>
  <si>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Rupta</t>
  </si>
  <si>
    <t>Afectación reputacional, debido al acceso no autorizado y disponibilidad de la información que se encuentra en custodia del proceso Rupta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</si>
  <si>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</si>
  <si>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APOYO</t>
  </si>
  <si>
    <t>GJ-RG-2</t>
  </si>
  <si>
    <t>Posible emisión de conceptos jurídicos y/o toma de decisiones por parte de los abogados con desconocimiento de los lineamientos internos y las disposiciones constitucionales y legales.</t>
  </si>
  <si>
    <t>Por la inobservancia de los lineamientos internos y los requisitos constitucionales y legales aplicables a la URT.</t>
  </si>
  <si>
    <t>Debido a la omision de la revision de la   normatividad y jurisprudencia</t>
  </si>
  <si>
    <t>Afectación económica</t>
  </si>
  <si>
    <t>Los documentos juridicos  son revisados por el abogado asignado dentro del Grupo de Defensa Judicial con base en el calendario judicial interno del grupo, los terminos judiciales, la normatividad vigente y la posición adoptada por la URT en otros casos similares.</t>
  </si>
  <si>
    <t xml:space="preserve">Seguimiento a la entrega de los documentos mediante la plataforma teams </t>
  </si>
  <si>
    <t xml:space="preserve">Los abogadas participan en la capacitaciones ofrecidas a traves de la comunidad juridica del conocimiento por la ANDJE </t>
  </si>
  <si>
    <t>GJ-RG-3</t>
  </si>
  <si>
    <t xml:space="preserve">Posible deficiencia de representación judicial y/o prejudicial en los procesos en los que la URT sea parte.
</t>
  </si>
  <si>
    <t xml:space="preserve">
Por desatender los lineamientos establecidos por el Comité de Conciliación de la Unidad y por la deficiencia en la oportunidad frente a las actuaciones que se adelantan ante las autoridades judiciales y extrajudiciales.</t>
  </si>
  <si>
    <t>Debido a que puede generar decisiones judiciales desfavorables originadas en el ejercicio de la representación judicial</t>
  </si>
  <si>
    <t>Los miembros del precomité realizan la validación de las fichas de conciliación elaboradas por los abogados apoderados, junto con las actuaciones realizadas en el trámite del proceso.</t>
  </si>
  <si>
    <t xml:space="preserve">Incluye la revisión y vigilancia del estado de procesos contenciosos administrativos, constitucionales, recursos de revisión ante Corte Suprema de Justicia, civiles, laborales, penales, de expropiación, o aquellos tramitados ante cualquier despacho judicial del país.
Esta actividad se desarrolla una vez se adjudique y se designe la supervisión del contrato al Coordinador del Grupo de Defensa Judicial. </t>
  </si>
  <si>
    <t>GJ-RG-4</t>
  </si>
  <si>
    <t>Posibilidad de afectación económica y reputacional por caducidad de la acción de repetición de las demandas desfavorables en contra de la entidad</t>
  </si>
  <si>
    <t>Por el pago tardío de las condenas, conciliación u otra forma de terminación de un conflicto.</t>
  </si>
  <si>
    <t xml:space="preserve">Debido a no recuperación del patrimonio afectado </t>
  </si>
  <si>
    <t>Todos los casos de sentencias condenatorias o de conciliaciones totales o parciales se someten a estudio ante los miembros del Comité de Conciliación para verificar la procedencia de la acción de repetición dentro de los términos legales establecidos.</t>
  </si>
  <si>
    <r>
      <rPr>
        <strike/>
        <u val="double"/>
        <sz val="11"/>
        <color theme="1"/>
        <rFont val="Arial"/>
        <family val="2"/>
      </rPr>
      <t xml:space="preserve">
</t>
    </r>
    <r>
      <rPr>
        <sz val="11"/>
        <color theme="1"/>
        <rFont val="Arial"/>
        <family val="2"/>
      </rPr>
      <t xml:space="preserve">
Seguimiento mensual al cumplimiento (pago) de las sentencias desfavorables para proceder con el estudio de la accion de repeticion</t>
    </r>
  </si>
  <si>
    <t>GJ-RSI-5</t>
  </si>
  <si>
    <t xml:space="preserve">Posibilidad de pérdida de integridad, disponibilidad y confidencialidad de la los activos de información de Gestion juridica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</si>
  <si>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Gestion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</si>
  <si>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</si>
  <si>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GD-RSI-1</t>
  </si>
  <si>
    <t xml:space="preserve">
Posible pérdida parcial o total del acervo documental (papel, digital y análogos) administrado y custodiado en los depósitos de archivo de la Unidad y/o manejo por parte de los proveedores debido a factores ambientales y antropogénicos, al igual que la falta de condiciones óptimas de conservación y preservación documental, junto con la obsolescencia tecnológica, la falta de capacitación en seguridad y control, y la saturación del espacio en los depósitos.</t>
  </si>
  <si>
    <r>
      <rPr>
        <b/>
        <sz val="11"/>
        <rFont val="Arial"/>
        <family val="2"/>
      </rPr>
      <t>Factores ambientales:</t>
    </r>
    <r>
      <rPr>
        <sz val="11"/>
        <rFont val="Arial"/>
        <family val="2"/>
      </rPr>
      <t xml:space="preserve">
Aparición de agentes biológicos o microorganismos hostiles.
Inundación, terremoto, vendaval, incendios y huracanes.
Por humedad, altas temperaturas, degradación de materiales, luz no adecuada y/o contaminantes atmosféricos.
</t>
    </r>
    <r>
      <rPr>
        <b/>
        <sz val="11"/>
        <rFont val="Arial"/>
        <family val="2"/>
      </rPr>
      <t>Factores Antropogénicos</t>
    </r>
    <r>
      <rPr>
        <sz val="11"/>
        <rFont val="Arial"/>
        <family val="2"/>
      </rPr>
      <t>:
 explosiones, atentados, mala manipulación, daños a infraestructura o actos violentos, inseguridad en los depósitos.</t>
    </r>
  </si>
  <si>
    <t>Debido a la falta de  condiciones óptimas para la conservación y preservación documental (infraestructura y tecnológica) en los archivos (papel, digital y análogo)
Obsolescencia Tecnológica. 
Debido a la falta de capacitación y apropiación de los procedimientos de seguridad y control de la documentación
Saturación del espacio disponible en los depósitos de archivo.</t>
  </si>
  <si>
    <t>Dificultad en el acceso a la información y costos asociados para la recuperación de la misma - responsabilidad en procesos legales y administrativos- propagación factores biológicos.  
Impacto Legal</t>
  </si>
  <si>
    <t>El servidor público (funcionario y/o contratista) que ejecute actividades de gestión documental en los depósitos de archivo de direcciones territoriales y nivel central, diariamente debe asegurar actividades de limpieza en los depósitos de archivo para que realice las actividades de limpieza de pisos, puestos de trabajo, cajas, estanterías, paredes, techos y deshumificadores en las fechas establecidas según el cronograma de limpieza del SIC. Se realiza por medio del diligenciamiento del formato GD-FO-37 CONTROL DE LIMPIEZA Y DESINFECCIÓN DE ÁREAS DE ARCHIVO y GD-FO-39 CONTROL DE INGRESO - DEPOSITOS DE ARCHIVO el consolidado de los mismos a nivel nacional. En el evento de no cumplir  se presenta la información a la coordinación o quien haga sus veces del Grupo de Gestión Documental, Archivo y Memoria Histórica - GGDAM  del  central la alerta de incumplimiento por fallas técnicas, humanas o nuevas necesidades en los depósitos de archivos. La evidencia de la ejecución del control se vera reflejada en el consolidado e informe mensual sobre la limpieza de los depósitos de archivo por medio del formato GD-FO-37 CONTROL DE LIMPIEZA Y DESINFECCIÓN DE ÁREAS DE ARCHIVO y el GD-FO-39 CONTROL DE INGRESO - DEPOSITOS DE ARCHIVO</t>
  </si>
  <si>
    <t xml:space="preserve">Realizar piezas frente al adecuado uso y consulta de los expedientes. </t>
  </si>
  <si>
    <t xml:space="preserve">El servidor público (funcionario y/o contratista) que ejecute actividades de gestión documental en el archivo central y descentralizado diariamente, asegura que los expedientes y unidades documentales simples y compuestas, objeto de préstamos, se entreguen y reciban con la previa verificación del estado físico o de las condiciones del mismo. el control se  realiza por medio del diligenciamiento del formato GD-FO-03 Préstamo Documental, de acuerdo a lo establecido en el  procedimiento de préstamos de documentos (GD-PR-03). En caso de desviaciones se reportan al líder, jefe y/o coordinador (a) de la oficina productora con copia al enlace de seguimiento y al coordinador (a) o quien haga sus veces del Grupo de Gestión  Documental, Archivo y Memoria Histórica. 
La evidencia de la ejecución del control se vera reflejada en el formato GD-FO-03 Préstamo Documental consolidado
</t>
  </si>
  <si>
    <t>Debe comunicar y reportar de inmediato al servidor público (funcionario y/o contratista) que ejecute actividades de gestión documental  y este a su vez al profesional enlace del nivel central de GGDAM, quien deberá orientar y monitorear la situación elevando a las instancias pertinentes, dependiendo cada caso, además debe aplicar las acciones establecidas en el GD-PT-01 PROTOCOLO PARA LA PREVENCIÓN Y ATENCIÓN DE EMERGENCIAS EN ARCHIVO</t>
  </si>
  <si>
    <t xml:space="preserve">
El servidor público (funcionario y/o contratista) que ejecute actividades de gestión documental una vez al año debe validar y realizar seguimiento a las actividades de saneamiento ambiental (desinfección, desratización, desinsectación, limpieza folio a folio y restauración documental) del SIC, con el fin de mitigar cualquier riesgo asociado a la propagación de cualquier agente biológico que afecte el acervo documental.  El proveedor seleccionado adelanta el proceso de (desinfección, desratización, desinsectación, limpieza folio a folio y restauración documental)  en cada uno de los depósitos de archivo. 
En caso de desviaciones el proveedor identifica una situación de alerta o riesgo debe enviar comunicación a la coordinación o quien haga sus veces del Grupo de Gestión Documental, Archivo y Memoria Histórica - GGDAM, para que desde la UAEGRTD se adelanten las acciones necesarias de acuerdo al GD-PT-01 PROTOCOLO PARA LA PREVENCIÓN Y ATENCIÓN DE EMERGENCIAS EN ARCHIVO. La evidencia del control son los informes del proveedor del estado de cada uno de los depósitos
</t>
  </si>
  <si>
    <t>GD-RG-2</t>
  </si>
  <si>
    <t>Posible información desactualizada en la conformación de los expedientes   de los depósitos de archivo de Nivel Central y Direcciones Territoriales, por incumplimiento en la entrega de los traslados documentales, uso de constancias secretariales e  información no cargada en SRTDAF.</t>
  </si>
  <si>
    <t xml:space="preserve">Expedientes desactualizados.
Incumplimientos en la entrega de Traslados Documentales.
Uso de constancias secretariales para la inclusión de documentos al expediente.
Información no cargada en SRTDAF.
Información cargada en SRTDAF y no entregada al equipo de gestión documental. </t>
  </si>
  <si>
    <t>Falta de apropiación y desconocimiento en la aplicación de las Tablas de Retención Documental (TRD) convalidadas y guías de conformación de expedientes por parte del servidor público (funcionario y/o contratista) .</t>
  </si>
  <si>
    <t>Afectaciones en la toma de decisiones - impacto legal</t>
  </si>
  <si>
    <t>El equipo de seguimiento de TRD, se reunirá mensualmente con el Servidor Público, funcionario y/o Contratistas o quien ejecute actividades de Gestión Documental  para Verificar la aplicación de la TRD convalidada,  con el fin de mitigar su  incumplimiento, revisando y consolidando el  seguimiento realizado a cada una de  las oficinas productoras de Nivel central y Direcciones territoriales. Esta actividad se evidencia a través de un acta de reunión, listado de asistencia  e informe del  tablero de Control seguimiento TRD.
En caso de desviaciones, se remite reporte mensual al Director territorial,  líder,  jefe y/o coordinador de  cada oficina productora  de Nivel central y Direcciones territoriales indicando el estado actual de cumplimiento de aplicación TRD</t>
  </si>
  <si>
    <t>Documentar el ejercicio de seguimiento, mediante Tablero de Control de aplicación de TRD del proceso Gestión Documental.</t>
  </si>
  <si>
    <t xml:space="preserve">El Supervisor y/o Apoyo a la Supervisión del contrato de Correspondencia o el coordinador (a) del Grupo de Gestión Documental, Archivo y Memoria Histórica - GGDAM o quien haga sus veces, mensualmente debe controlar el estado de cada uno de los radicados, verificando el reporte entregado por el operador postal, para validar los tiempos y novedades de devolución, el seguimiento a los radicados se hace a través del sistema de información ORFEO y mediante el aplicativo del proveedor SIPOST. 
En caso de desviaciones se verifican los reportes arrojados por el sistema de información ORFEO  y el reporte entregado por  el proveedor,  con el fin de  realizar el seguimiento a los casos donde se presenten  devoluciones de correspondencia. 
Como evidencia de la ejecución del control se cuenta con el Indicador de devoluciones de correspondencia (ficha de indicador)
</t>
  </si>
  <si>
    <t xml:space="preserve">Reportar inicialmente a Director territorial,  líder,  jefe y/o coordinador de  cada oficina productora  de Nivel central y Direcciones territoriales  el incumplimiento a los compromisos. En caso de continuar con el incumplimiento se informará a la Secretaria General y a la Oficina de Control Interno. </t>
  </si>
  <si>
    <t>GD-RG-3</t>
  </si>
  <si>
    <t xml:space="preserve">
Posible inoportunidad de entrega de las comunicaciones oficiales por parte del operador postal  por fallas en los tiempos de trámite y control de entrega de las comunicaciones oficiales.
Debido al incumplimiento en los tiempos establecidos por el operador postal en la matriz de distribución y acuerdos de niveles de servicio.</t>
  </si>
  <si>
    <t xml:space="preserve">Fallas en los tiempos de trámite y control de entrega de las comunicaciones oficiales.
</t>
  </si>
  <si>
    <t>Incumplimiento en los tiempos establecidos por el operador postal en la matriz de distribución y acuerdos de niveles de servicio.</t>
  </si>
  <si>
    <t>Impacto legal</t>
  </si>
  <si>
    <t xml:space="preserve">
El Supervisor y/o Apoyo a la Supervisión del contrato de Correspondencia o el coordinador (a) del Grupo de Gestión Documental, Archivo y Memoria Histórica - GGDAM o quien haga sus veces, mensualmente,  debe verificar el cumplimiento de los acuerdos de servicio con el operador postal a través de reuniones conjuntas, con el fin de tratar las novedades del periodo y solicitar control de calidad frente a las situaciones no conformes.
En caso de desviaciones se tramitará los incumplimientos respectivos al operador postal, cuando se de lugar a ello de acuerdo con la normativa establecida y se realiza seguimiento al operador  postal  para identificar las fallas y las posibles propuestas para subsanar el inconveniente,  como evidencia de la ejecución del control se cuenta con las actas de reunión con el operador.
</t>
  </si>
  <si>
    <t>Sensibilización y piezas publicitarias frente a los manejos y responsabilidades en la gestión de las comunicaciones oficiales</t>
  </si>
  <si>
    <t xml:space="preserve">El Supervisor y/o Apoyo a la Supervisión del contrato de Correspondencia o el coordinador (a) del Grupo de Gestión Documental, Archivo y Memoria Histórica - GGDAM o quien haga sus veces,   mensualmente, deberá controlar las devoluciones de correspondencia, validando  la relación reportada de  distribución de correspondencia  por  el operador postal frente a  los envíos que presentan devolución, mediante una muestra aleatoria. 
En caso de desviaciones se prepara el  reporte para ser socializado con el superior jerárquico inmediato, a fin de que tomen las medidas correspondientes, como evidencia de la ejecución del control se cuenta con Ficha indicador de devoluciones de correspondencia e Informe de la verificación de las devoluciones.
</t>
  </si>
  <si>
    <t>Iniciar las acciones disciplinarias o administrativas a que haya lugar, dependiendo del tipo de incumplimiento</t>
  </si>
  <si>
    <t>GD-RF-5</t>
  </si>
  <si>
    <t xml:space="preserve">
Pérdida de recursos públicos o sanciones legales derivadas de la inadecuada administración, conservación o disposición de documentos y archivos históricos custodiados por el Grupo de Gestión Documental, Archivo y Memoria Histórica (GGDAM).
</t>
  </si>
  <si>
    <t>Procesos técnicos de gestión documental inadecuados en la digitalización, conservación y/o disposición de documentos.
 Pérdida, deterioro, sustracción y acceso no autorizado a documentos.
Acceso no autorizado a los depósitos de archivos debido a controles débiles.
Contrataciones  de proveedores que no cumplen con los requisitos técnicos para el desarrollo de actividades relacionadas con gestión documental, lo que impacta la calidad del servicio prestado.
Almacenamiento inadecuado por mal uso de los insumos para conservación de los archivos, provocando daños físicos a los documentos.</t>
  </si>
  <si>
    <t xml:space="preserve">
Desconocimiento de procedimientos  y procesos referente a la  gestión documental.
Recursos financieros, Físicos,  tecnológicos y humanos insuficientes.
Personal no capacitado en normativas archivísticas y técnicas de conservación.</t>
  </si>
  <si>
    <t xml:space="preserve">Pérdida de recursos públicos.
Sanciones legales por incumplimiento de normativas archivísticas.
Daño reputacional por pérdida o mal manejo de archivos históricos y patrimoniales.
Incremento de costos asociados a la recuperación de documentos o corrección de errores.
Pérdida de confianza,  credibilidad y reputación ante los órganos y/o entes de control. </t>
  </si>
  <si>
    <t>El servidor público (funcionario y/o contratista) que ejecute actividades de Gestión Documental de Nivel Central, mensualmente, Realizar el seguimiento a la ejecución del Programa de Gestión Documental (PGD).
Verificar y registrar el cumplimiento de la ejecución de las actividades asociadas al proceso de gestión documental mediante un  Tablero de Control, en caso de desviaciones se remite correo con alerta  del incumplimiento al coordinador del Grupo de Gestión Documental, Archivo y Memoria Histórica (GGDAM) y/o quien haga sus veces para que tome las acciones pertinente sobre el caso. La ejecución del control se evidencia en el  Tablero de Control de seguimiento al Plan de Acción.</t>
  </si>
  <si>
    <t>Realizar Capacitaciones, sensibilizaciones y actualización a los responsables de la gestión documental, garantizando competencias en normatividad archivística, digitalización segura, preservación y conservación  de documentos históricos y manejo de plataformas tecnológicas.</t>
  </si>
  <si>
    <t xml:space="preserve">El servidor público (funcionario y/o contratista) que ejecute actividades de Gestión Documental de Nivel Central, mensualmente verifica el cumplimiento de la aplicación de los proceso archivistos y las herramientas para la disposición final, de los documentos, mediante el seguimiento  a los depósitos de archivo de gestión ubicados en  las  Direcciones Territoriales y Nivel Central.
En caso de desviaciones se remite informe mensual al  Director de cada dirección territorial y/o Coordinador de GGDAM o quien haga sus veces  indicando el  incumplimiento. la ejecución del control se evidencia en el acta de Reunión de Seguimiento.
</t>
  </si>
  <si>
    <t xml:space="preserve"> Reporte a la secretaría general para tomar las medidas necesarias ante el incumplimiento presentado por parte  las Direcciones Territoriales y/o Nivel Central.</t>
  </si>
  <si>
    <t>GL-RG-2</t>
  </si>
  <si>
    <t xml:space="preserve">Posibilidad de la no prestación de los servicios líderados por el proceso de Gestión Logistica a nivel nacional </t>
  </si>
  <si>
    <t>Por terminaciones anticipadas del contrato
Por desabastecimiento de insumos
Por agotamiento de recursos económicos</t>
  </si>
  <si>
    <t>Debido al desconocimiento de los lineamientos y procedimientos establecidos por la UAEGRTD y  el incumplimiento de las obligaciones contractuales, por parte del proveedor.</t>
  </si>
  <si>
    <t>El par administrativo de la Dirección Territorial generará un informe mensual respecto a la ocupación de puestos para ser remitido al líder de infraestructura del GGSOA en el nivel central con el fin de verificar el estado de la dotación tecnológica instalada en cada sede y no incurrir en posibles sobrecostos por espacios de trabajo que no están siendo utilizados.  
El subgrupo  de infraestructura del GGSOA consolida la información remitida por las DT, y procede a verificar el adecuado seguimiento a la ocupación de puestos de trabajo, de acuerdo con lo establecido en el  procedimiento GL-PR-10- Servicios de Infraestructura.
Con base en ello se realiza un comparativo de los puestos que están siendo utilizados, validando la información a fin de brindar posibles mejoras bien sea para la instalación de más puestos o la desinstalación de los que no se requieran.  
En caso de que las Direcciones Territoriales tengan puestos de trabajo vacíos en calidad de arrendamiento, se procederá a solicitar mediante correo electrónico aclaración al respecto a los directores territoriales, adjuntando los planos arquitectónicos de la sede como evidencia.  La evidencia se verá reflejada a través de la Información remitida por las Direcciones Territoriales con la relación de la ocupación de puestos de trabajo, planos donde se identifica la ocupación de puestos de trabajos y relación de ocupación de puestos de trabajo por colaborador, y oficios remitidos al contratista de dotación tecnológica solicitando el desmonte o instalación de puestos de trabajo.</t>
  </si>
  <si>
    <t xml:space="preserve">Realizar inspección visual al vehículo que prestará el servicio, a fin de garantizar las condiciones técnicas de este.
</t>
  </si>
  <si>
    <t>El par administrativo de la Dirección Territorial de manera semanal se encarga de realizar el envío al supervisor de(l) (los) contrato(s) de transporte así como al apoyo a la supervisión la programación de servicios para la semana inmediatamente siguiente a través del formato GL-FO-18 con el fin de realizar una verificación previa a los trayectos solicitados por cada dirección territorial a fin de identificar posibles rutas comunes que permitan disminuir el impacto en la cantidad de servicios y una optimización de recursos en cuanto a la prestación de servicio de transporte en las diferentes modalidades de vehículos 
Una vez programado el servicio, el servidor público responsable de la solicitud del servicio de transporte se encargara de realizar la inspección del vehículo de conformidad al formato GL-FO-36, y garantizar que solo aborden el vehículo las personas que fueron relacionadas en el formato GL-FO-18.  
Las únicas solicitudes de transporte que serán tramitadas son aquellas que cumplan con el lleno de requisitos establecidos en el GL-PT-02 y que cuenten con el formato GL-FO-18 diligenciado correctamente. Ahora bien, cuando los vehículos que se presenten para la prestación del servicio no cumplan con los requisitos establecidos en el formato GL-FO-36, se deberá informar de manera inmediata al supervisor del contrato de transporte y al apoyo a la supervisión para tomar las medidas a que haya lugar.  La evidencia se verá reflejada a través de los formatos GL-FO-18 diligenciados y las verificaciones presentadas por los responsables del servicio en el formato GL-FO-36</t>
  </si>
  <si>
    <t xml:space="preserve">Realizar tomas fisicas de los bienes con los que cuenta en entidad </t>
  </si>
  <si>
    <t>El líder de almacén cada que se realice la adquisición de bienes en la entidad deberá realizar el ingreso de los mismos al almacén a través del sistema STONE. 
Lo anterior con el fin de llevar control sobre los bienes que han sido adquiridos a través del ingreso a inventario de conformidad al procedimiento GL-PR-01. 
El líder de almacén en el Nivel Central, revisa las cantidades y los documentos anexos al formato GL-FO-43, que cumplan con lo estipulado en el procedimiento GL-PR-01 Entrada de Bienes al Almacén. Respecto de las características técnicas definidas de los bienes a ingresar es responsabilidad exclusiva por parte del supervisor del contrato u orden de compra por medio del cual se está adquiriendo el bien. 
En caso de presentarse inconsistencias en las cantidades, características técnicas (responsabilidad del supervisor de la compra del bien), requisitos definidos en el procedimiento GL-PR-01 Entrada de Bienes al Almacén y los documentos que se deben anexar según el formato GL-FO-43 solicitud de entrada al almacén, el profesional o responsable de almacén en el Nivel Central, requerirá la subsanación al supervisor del contrato u orden de compra mediante el cual se adquiere el bien.  La evidencia se verá reflejada a través de las entradas a almacén generadas por el sistema STONE</t>
  </si>
  <si>
    <t xml:space="preserve">Realizar informes del incumplimiento del procedimiento de  ingreso de bienes al almacen
</t>
  </si>
  <si>
    <t>GL-RG-3</t>
  </si>
  <si>
    <t>Posibilidad del  incumplimiento de los objetivos del SGA por falta de apropiación  por parte de los colaboradores de las tematicas ambientales que componen el SGA de la UAEGRTD.</t>
  </si>
  <si>
    <t>Desconocimiento de los servidores públicos de los lineamientos y la política de Gestión Ambiental</t>
  </si>
  <si>
    <t>Debido al bajo seguimiento, verificación inoportuna y apropiación de los lineamientos establecidos</t>
  </si>
  <si>
    <t>Riesgos asociados al Sistema de Gestión Ambiental.</t>
  </si>
  <si>
    <t>El profesional líder del SGA de manera mensual realizará seguimiento al cumplimiento de las metas del SGA con el propósito de determinar las acciones de mejora para lograr la consecución de objetivos propuestos 
El control es realizado a través la revisión de la matriz SGA a fin d determinar las acciones que no han sido reportadas o cumplidas y establecer puntos de control para las mismas. 
En los casos que se presenten anomalías se contactará al par administrativo para que informe las causas de las novedades bien sea por el no reporte o reporte con condiciones diferentes a las establecidas  
La evidencia del control será el registro de la información en el documento Matriz de Seguimiento Gestión Ambiental.</t>
  </si>
  <si>
    <t xml:space="preserve">Monitorear la  Matriz de Seguimiento Gestión Ambiental </t>
  </si>
  <si>
    <t>El profesional líder del SGA de manera semestral realizara la actualización de marco normativo aplicable en cuanto aspectos ambientales. 
Con el fin de establecer que normatividad bien sea saliente, modificada o derogada es aplicable a la entidad. 
El control consiste en el diligenciamiento del formato GJ-FO-06 particularmente relacionado al SGA. En los casos que se dé una creación o derogación o modificación a las normas relacionadas con el SGA, se realiza la actualización de la misma al proceso de Gestión jurídica y se determinará la forma en que se aplica.  
La evidencia del control será Formato GJ-FO-06 Matriz de identificación y evaluación de requisitos legales del SGA y MC-FO-15 Ficha del indicador.</t>
  </si>
  <si>
    <t xml:space="preserve">Evaluación del cumplimiento de los requisitos legales ambientales apilciables a la UAEGRTD.
</t>
  </si>
  <si>
    <t>Ejecución campañas ambientales, actividades prácticas y concursos en la URT relacionados con los  aspectos ambientales.</t>
  </si>
  <si>
    <t xml:space="preserve">Aplicar el protocolo de emergencias e informar a Secretaría General </t>
  </si>
  <si>
    <t>GL-RG-4</t>
  </si>
  <si>
    <t>Falta de competencia ambiental del personal que apoya la ejecución de las actividades del SGA en las direccions territoriales.</t>
  </si>
  <si>
    <t>Falta de conocimiento técnico de los pares  administrativos de las direcciones territoriales.</t>
  </si>
  <si>
    <t>Delegación de funciones ambientales a personal administrativo.</t>
  </si>
  <si>
    <t>El profesional líder del SGA de manera cuatrimestral realiza mesas de trabajo con el equipo de gestión ambiental, pares administrativos, con el objetivo de identificar dificultades, logros, oportunidades de mejora y coordinar jornadas técnicas en temas ambientales a nivel nacional. 
El control es realizado a través del seguimiento al cronograma de acciones relacionadas con el SGA y que establece la periodicidad de realización de las actividades (Piezas y Charlas). 
En los casos en que no se cumpla con el cronograma se solicitará al responsable de la acción, el informe del por qué se presentó la situación.  
La evidencia del control serán las actas de reunión bien sean presenciales o virtuales con el respectivo listado de asistencia</t>
  </si>
  <si>
    <t>Elaboración del instrumento para adelantar la evaluación a los pares administrativos en temas ambientales</t>
  </si>
  <si>
    <t>El profesional líder del SGA de manera trimestral realiza el seguimiento al cumplimiento de los lineamientos de relacionados con el programad de ahorro y uso eficiente del agua GL-PG-04 y manejo adecuado de residuos en el contenido en el GL-PG-03. 
Lo anterior con el fin de llevar control sobre el ahorro del recurso hídrico y la correcta disposición de residuos. 
Ahora bien, este control es realizado a través del diligenciamiento de los formatos GL-FO-41, GL-FO-45 y GL-FO-52 por parte de los pares administrativos ubicados de cada dirección territorial o sede; así como, el respectivo reporte al equipo de gestión ambiental en el nivel central. Se remitirá el diagnóstico al grupo de infraestructura para que se evalúe la situación y se adelanten los ajustes correspondientes  
La evidencia será reflejada con el diligenciamiento de los formatos GL-FO-41, GL-FO-45 y GL-FO-52.</t>
  </si>
  <si>
    <t>Generar comuniciación formal al Director Territorial con copia a Secretaría General informando la obligación de darle cumplimiento a los requerimientos del SGA, estableciendo fechas para el cumplimiento de dichas entregas o compromisos.</t>
  </si>
  <si>
    <t>GL-RG-5</t>
  </si>
  <si>
    <t>Imposibilidad de atender las observaciones resultantes de los seguimientos por falta de recursos o falta de personal</t>
  </si>
  <si>
    <t>No subsanación de las observaciones por inconsistencias, que se detecten en los seguimientos</t>
  </si>
  <si>
    <t>Incumplientos en los lineamientos del programa
Infraestructura fisica deficiente
Desconocimientos de los programas del SGA.</t>
  </si>
  <si>
    <t>El equipo de infraestructura del GGSOA cada vez que se pretende un cambio de sede realiza visitas a los inmuebles que son identificados como posibles sedes para el funcionamiento de la UAEGRTD con el propósito de verificar el cumplimiento de las condiciones mínimas establecidas en la ficha técnica. 
El informe de la visita contiene el registro fotográfico de las instalaciones, así como chequeo inicial de los documentos del inmueble y que son requisito para el proceso de contratación. Si el inmueble no cumple, se avaluan costos de adecuación por parte del propietario o del operador y su viabilidad técnica o se rechaza el inmueble.  Informe de visita</t>
  </si>
  <si>
    <r>
      <rPr>
        <sz val="11"/>
        <rFont val="Arial"/>
        <family val="2"/>
      </rPr>
      <t>Realizar visitas a los inmuebles</t>
    </r>
    <r>
      <rPr>
        <sz val="11"/>
        <color rgb="FF000000"/>
        <rFont val="Arial"/>
        <family val="2"/>
      </rPr>
      <t xml:space="preserve"> cuando la decisión de cambio sea solicitada  por los directores territoriales o de la alta dirección en el nivel central</t>
    </r>
  </si>
  <si>
    <t>El profesional líder del SGA de manera anual realiza la definición de lineamientos a tener en cuenta en las instalaciones hidrosanitarias convencionales para el ahorro del recurso hídrico con el fin de identificar alternativas para el almacenamiento del recurso hídrico y el almacenamiento de los residuos generados por la entidad en diferentes espacios y contenedores. 
El control es realizado a través del diligenciamiento de los formatos GL-FO-41 y GL-FO-45. En caso de presentarse situaciones relacionadas con la falta de espacios o equipos bien sea para el ahorro del agua o de la disposición de espacios para los desechos se realizará el reporte al líder del SGA a fin de establecer acciones de contingencia.  
La evidencia será reflejada con el diligenciamiento de los formatos GL-FO-41 y GL-FO-45.</t>
  </si>
  <si>
    <t xml:space="preserve">Establecer cronograma de trabajo de las DT en cuanto al diligenciamiento de la lista de chequeo GL-PO-45 LISTA DE CHEQUEO DE INSTALACIONES HIDROSANITARIAS y la inspección GL-PO-41  </t>
  </si>
  <si>
    <t>Generar informe consolidado de las inspecciones en las sedes, para ser presentado a la Secretaría General y que desde allí se gestione la revisión de las mismas para optar por cambios de conformidad con los recursos presupuestales y la política de austeridad.</t>
  </si>
  <si>
    <t>GL-RSI-6</t>
  </si>
  <si>
    <t xml:space="preserve">La posibilidad de divulgación de la información almacenada en vídeos de las oficinas de la UAEGRTD y divulgación del documento programador de vehiculos, por la manipulacion sin seguir las medidas de seguridad aprobadas por la UAEGRTD o por el daño del equipo donde se almacena, que pueden provocar  un daño reputacional y económico a la entidad por la posible exposición de datos personales </t>
  </si>
  <si>
    <t>Manipulacion sin seguir las medidas de seguridad de la información aprobadas por la UAEGRTD o por el daño del equipo donde se almacena</t>
  </si>
  <si>
    <t>Flata de lineamientos claros a los proveedores en cuanto a la confidencialidad de la información</t>
  </si>
  <si>
    <t>El proveedor encargado del servicio de toma de vídeos debe proporcionar las medidas de protección acordes a la sensibillidad de la información que administra
El documento de Programación del servicio (programador): contiene datos personales sensibles</t>
  </si>
  <si>
    <t>El supervisor del contrato de Seguridad Privada y Vigilancia junto con el Apoyo a la Supervisión y  el supervisor del contrato de transporte  durante la ejecución del contrato establecera las acciones necesarias para garantizar que los contratistas que presten el servicio de seguridad y vigilacia así como el servicio de transporte no divulguen la información sensible a la que tengan acceso en ocasión de la ejecución contractual. El control es realizado en ejerciio autonomo del supervisor para la realización de la vigilancia técnica, financiera, administrativa, juridica y contable que le asiste de conformidad a la delegación de la supervisión y de conformidad a lo establecido en el GC-MA-02 y la normativa vigente en materia de supervisión de contratos estatales En caso de identificar acciones por parte del contratista que vayan en contravia de salvaguarda y garantizar la privacidad de información sensible se debera adelantaraá el respectivo tramite administrtaivco para el presunto incumplimiento contractaual.  
La evidencia será reflejada con el ultimo informe de supervisión GC-FO-16 suscrito por el supervisor para cada uno d elos contratos relacionados con el servicio de seguridad y vigilancia privada así como los contratos de transporte donde se identifique que el contratista cumplio con esta obligación.</t>
  </si>
  <si>
    <t>adelantar los tramistes administrativos que correspondan para el incumplimiento de contrato</t>
  </si>
  <si>
    <t>El coordinador del GGSOA validará la conveniencia de conceder acceso a las imágenes captadas por el CCTV cada vez que se realice una solicitud de acceso con el proposito de garantizar que solamente las personas autorizadas puedan acceder y visualizar la información de los videos de seguridad de la UAEGRTD. 
El control esta contenido dentro del protocolo GL-PT-03 CONSULTA GRABACIÓN DE CÁMARAS DEL CCTV, que nos indica quienes son las personas autorizadas para acceder y visualizar la información de los videos de seguridad de la UAEGRTD. En caso de desviación el supervisor del contrato de vigilancia y seguridad informará al remitente de la solicitud que no está autorizado para acceder a la información de los videos de seguridad de la UAEGRTD.   La evidencia del control serán los correos electronicos recibidos y las respectivas respuestas desde el correo electronico establecido para tal fin.</t>
  </si>
  <si>
    <t>GL-RF-7</t>
  </si>
  <si>
    <t xml:space="preserve">Posibilidad de efecto dañoso sobre recursos públicos por la inexistencia de un contrato de seguros que no ampare lo bienes muebles de la entidad. </t>
  </si>
  <si>
    <t xml:space="preserve"> la inexistencia de un contrato de seguros que no ampare lo bienes muebles de la entidad</t>
  </si>
  <si>
    <t xml:space="preserve">Incumplimiento en la cobertura de las garantías que amparan los riesgos definidos </t>
  </si>
  <si>
    <t>G_Daños_Activos_Fijos</t>
  </si>
  <si>
    <t>Riesgo asociado a daños activos fijos.</t>
  </si>
  <si>
    <t>El coordinador del GGSOA realizará las acciones que conlleven a garantizar que la entidad cuente con el programa de seguros 
Teniendo en cuenta que las pólizas tiene un año de vigencia la actividad deberá realizarse con el tiempo suficiente para la contratafción de las mismas validar los amparos incluidos en el contrato de los bienes muebles de la entidad.  
El coordinador de GGSOA validara el contenido del contrato de seguros que ampara los bienes muebles de la entidad, en aspecto como los amparos, valores y plazos. en caso de desviación se el supervisor del contrato de seguros y su apoyo a la supervisión, en coordinación con el corredor de seguros evaluarán la posibilida de realizar ampliaciones al programa de seguros  La evidencia del control será la poliza de seguros vigente al momento del reporte.</t>
  </si>
  <si>
    <t>TH-RG-2</t>
  </si>
  <si>
    <t>Posibilidad de perdida reputacional y/o económica por gestionar de manera inadecuada el talento humano a lo largo del ciclo de vida del funcionario, debido la no observancia de los requisitos normativos de la gestión estratégica del talento humano</t>
  </si>
  <si>
    <t>Gestionar de manera inadecuada el Talento Humano</t>
  </si>
  <si>
    <t xml:space="preserve">No observancia de los requisitos normativos para la gestión estratégica del talento humano, en cumplimiento del principio del mérito, provisión oportuna con el personal idóneo
Falta de competencia y conocimiento y del  servidor público.
Incumplimiento de las obligaciónes normativa y técnicas de los planes institucionales de Talento Humano. 
</t>
  </si>
  <si>
    <t>Riesgo asociado al desarrollo del proceso talento humano con la ejecución de los planes institucionales
Verificación de requisitos minimos</t>
  </si>
  <si>
    <t xml:space="preserve">
El Profesional/Contratista GGTDH cada vez que se realice el proceso de vinculación. Verifica que el aspirante al cargo cumple con el perfil requerido en el  manual de funciones y competencias laborales, de acuerdo a la   experiencia laboral y formación académica. 
Se solicitan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desviación, si se presenta alguna novedad  u observación en los documentos presentados, se solicita al funcionario a través de correo electronico que subsane. En caso de  no cumplir con los requisitos definidos en el Manual Específico de Funciones y Competencias Laborales, se le informa a la dependencia solicitante y al aspirante que no continuará  el proceso de vinculación. 
La evidencia del presente control es el formato TH-FO-16 Verificación de requisitos mínimos diligenciado y documentos requeridos.</t>
  </si>
  <si>
    <t>Implementar acciones de capacitación, y/o sensibilización y/o unificación de criterios dirigida a los colaboradores del GGTDH sobre procedimientos internos y/o normativa dirigida a las personas en temas de vinculación de personal y empleo público.  vinculadas al servicio público de la entidad.</t>
  </si>
  <si>
    <t xml:space="preserve">
El profesional/Contratista GGTDH semanalmente,  Verificar que se cumpla con el requisito de realizar y aprobar  la inducción institucional.
Se lleva a cabo la revisión de la reinducción generada por el funcionario, evaluando detalladamente los siguientes dos requisitos:
1. Realización de la ubicación e inducción en el puesto de trabajo, mediante el diligenciamiento del Formato TH-FO-01 de Ubicación e Inducción en el Puesto de Trabajo (para funcionarios).
2. Verificación de la realización de la inducción institucional a través del micrositio en la página web de la Unidad y su correspondiente aprobación (para funcionarios y contratistas).
En caso de no cumplir con la realización de la actividad de ubicación e inducción en el puesto de trabajo  se reitera la comunicación al Jefe y/o Líder de la dependencia o a al jefe inmediato, solicitando nuevamente cumplimiento de la actividad y el envío del formato.
En caso de no realizar, o no aprobar la inducción institucional en el Micrositio de la página web institucional, se remite correo electronico al funcionario para que revise los contenidos y repita la evaluación hasta que la apruebe, esto es, que obtenga una calificación mayor o igual al 80%.
Como evidencia del presento contro se tiene: 
- Formato TH-FO-01 UBICACIÓN E INDUCCIÓN EN EL PUESTO DE TRABAJO.
- Registro en base de datos Excel  con  el seguimiento a la cumplimiento de etapas de la inducción institucional</t>
  </si>
  <si>
    <t xml:space="preserve">Gestionar / Divulgar socializaciones en temas relacionados con la gestión del talento humano para funcionarios y colaboradores del GGTDH en el nivel Central y pares de talento humano en las Direcciones Territoriales  de  la URT.
</t>
  </si>
  <si>
    <t xml:space="preserve">
El profesional/Contratista GGTDH mensualmente, valida el cumplimiento  de las actividades programadas en el Plan Estratégico de Talento Humano, Plan Institucional de Capacitación, Plan  de Bienestar e incentivos, Plan Anual de Trabajo de SGSSTy Plan Anual de Vacantes, para la vigencia.  
El colaborador  del Grupo de Gestión de Talento y Desarrollo Humano responsable de la valiación de cada uno de los  planes institucionales de Talento Humano y el Líder de proceso, comprueban y validan el cumplimiento de las actividades programadas en el cronograma a través de la revisión de las evidencias que soporten su ejecución respecto al Plan de Acción del GGTDH.
En caso de no presentar evidencias que soporten la ejecución de las actividades se procederá a solicitar explicación y justificación con respecto al incumplimiento de la ejecución a través del correo electrónico.
Como evidencia del presente control se genera: 
- Reporte Mensuales en el aplicativo Strategos.
- Soportes de las actividades realizadas: Actas de reunión, y/o informes de actividades, y /o correos electrónicos, y/o listados de asistencia.</t>
  </si>
  <si>
    <t>Reportar al líder del proceso la situación presentada con respecto a la materialización del riesgo para que se tomen las acciones pertinentes. 
Presentar inorme al ordenador del gasto
Presentar las evidenciar de la acción presentada</t>
  </si>
  <si>
    <t xml:space="preserve">
El Coordinador (a) Grupo de Gestión de Talento y Desarrollo Humano anualmente, revisa que los planes institucipnales de Talento Humano  cumplan con los requisitos tematicos y normativos defindidos por el DAFP. 
Se lleva a cabo una revisión técnica de los planes institucionales, los cuales se someten al visto bueno de los miembros del Subcomité Técnico de Talento Humano, antes de ser aprobados por el Comité Institucional de Gestión y Desempeño de la Entidad. Si se encuentra necesidad de realizar modificación a sus contenidos o planes de trabajo, se solicita a la Coordinación del GGTDH  realiza los ajustes respectivos. 
Como evidencia del control se genera el acta de reunión del Subcomité de Técnico de Talento Humano y/o correo electronico con observaciones.</t>
  </si>
  <si>
    <t>TH-RG-3</t>
  </si>
  <si>
    <t>Posibilidad de perdida reputacional y/o económica por gestionar inadecuadamente  las condiciones sub estándar, a raíz de la no observancia de los requisitos normativos las cuales pueden desencadenar posibles eventos de origen laboral a los colaboradores de la Unidad en el desarrollo de sus actividades y funciones</t>
  </si>
  <si>
    <t xml:space="preserve">Por gestionar inadecuadamente  las condiciones sub estándar
'No contemplar los elementos susceptibles de mejora brindados por la calificación de estandares mínimos de la vigencia anterior  como insumo para el Plan de Trabajo Anual  del SGSST </t>
  </si>
  <si>
    <t>Por la inobservancia de los requisitos normativos las cuales pueden desencadenar posibles eventos de origen laboral a los colaboradores de la Unidad en el desarrollo de sus actividades y funciones</t>
  </si>
  <si>
    <t xml:space="preserve">Riesgo asociado al subsistema de Gestión de Seguridad y Salud en el trabajo
La materialización del riesgo tendría como consecuencias lesiones y deterioro de la salud. </t>
  </si>
  <si>
    <r>
      <t xml:space="preserve">
El profesional especializado y los contratistas del área de Talento Humano, junto con el equipo de Seguridad y Salud en el Trabajo, conforme al cronograma establecido para la vigencia, verifican las condiciones subestándar con el fin de prevenir incidentes y accidentes laborales que puedan derivar en enfermedades de origen laboral en la URT.
Se realiza a través de  medidas de intervención (correctivas, preventivas o de mejora) realizadas en dos momentos: una primer inspección preventiva y una segunda de seguimiento al cierre efectivo de las condiciones encontradas, adicionalmente revisando la existencia de nuevas condiciones que pongan en peligro la salud y bienestar de los colaboradores de la Unidad. Dentro de estas inspecciones se realizan: a instalaciones o locativas, Elementos de emergencia como botiquines y extintores y a elementos de protección personal.
Cuando se presentan desviaciones el responsable de SST realiza comunicado al superior del área reiterando la solicitud para la implementación de acciones correctivas, lo anterior con el fin de prevenir la ocurrencia de accidentes debido a estas condiciones encontradas. 
</t>
    </r>
    <r>
      <rPr>
        <sz val="11"/>
        <color rgb="FF4472C4"/>
        <rFont val="Arial"/>
        <family val="2"/>
      </rPr>
      <t xml:space="preserve">
</t>
    </r>
    <r>
      <rPr>
        <sz val="11"/>
        <color rgb="FF000000"/>
        <rFont val="Arial"/>
        <family val="2"/>
      </rPr>
      <t>Como evidencia del control se genera: 
- Informes de inspección y/o comunicado interno</t>
    </r>
  </si>
  <si>
    <r>
      <t>Realizar mesas de trabajo con las Direcciones Territoriales</t>
    </r>
    <r>
      <rPr>
        <b/>
        <sz val="11"/>
        <color rgb="FF000000"/>
        <rFont val="Arial"/>
        <family val="2"/>
      </rPr>
      <t xml:space="preserve"> articiuladas con el GGSOA </t>
    </r>
    <r>
      <rPr>
        <sz val="11"/>
        <color rgb="FF000000"/>
        <rFont val="Arial"/>
        <family val="2"/>
      </rPr>
      <t xml:space="preserve"> para verificar la efectividad de la las acciones preventivas, correctivas y de mejora derivadas de las inspecciones de seguridad tanto en el nivel central como  territorial.</t>
    </r>
  </si>
  <si>
    <r>
      <rPr>
        <sz val="11"/>
        <color rgb="FFFF0000"/>
        <rFont val="Arial"/>
        <family val="2"/>
      </rPr>
      <t xml:space="preserve">
</t>
    </r>
    <r>
      <rPr>
        <sz val="11"/>
        <color rgb="FF000000"/>
        <rFont val="Arial"/>
        <family val="2"/>
      </rPr>
      <t xml:space="preserve">
El profesional especializado, los contratistas del área de Talento Humano y el equipo de Seguridad y Salud en el Trabajo revisan anualmente los peligros y valoran los riesgos con el fin de determinar los controles adecuados para que los mismos se mantengan en grado de aceptabilidad.
La identificación de peligros se realiza mediante la metodología GTC-45, se establecen controles para los riesgos identificados y se elabora el plan de trabajo anual. Esta identificación se realiza de forma anual, pero debe llevarse a cabo antes si ocurre un cambio significativo, como la implementación de un nuevo proceso, modificaciones en la infraestructura o instalaciones de la unidad, o la ocurrencia de un accidente grave o mortal.
Cuando se presenta una novedad, como un cambio normativo o la notificación de un accidente de trabajo grave o mortal, el profesional certificado de SST realiza una nueva revisión de la matriz de peligros y procede a su actualización.
Como evidencia del control, se genera la matriz de identificación de peligros y el plan de trabajo.</t>
    </r>
  </si>
  <si>
    <t>Realizar campañas de prevención del riesgo público en articulación con el GGPS</t>
  </si>
  <si>
    <t xml:space="preserve">
El profesional especializado, los contratistas de Talento Humano y el equipo de Seguridad y Salud en el Trabajo verifican anualmente el cumplimiento de la normatividad en Seguridad y Salud en el Trabajo, con el fin de salvaguardar el bienestar físico y mental de los servidores públicos, funcionarios y contratistas de la Unidad.
La verificación se lleva a cabo a partir de los ejercicios de evaluación realizados por entes internos o externos, en relación con la expedición de nueva normativa en la materia, la actualización del normograma de la entidad y la evaluación del cumplimiento de los requisitos legales por parte de un profesional experto o auditor externo.
En caso de identificar incumplimientos en alguna normativa, el profedional certificado en SST ejecuta acciones correctivas y de mejora para identificar las causas y determinar los controles necesarios para su subsanación.
Como evidencia del control, se generan los informes de verificación de cumplimiento de requisitos legales, emitidos por la AR o por auditoría interna o externa.</t>
  </si>
  <si>
    <t>Verificar el cumplimiento de las actividades establecidas en el Plan Anual de Trabajo de Seguridad y Salud en el Trabajo. 
El Profesional Especializado, junto con los Contratistas y el equipo de Talento Humano de Seguridad y Salud en el Trabajo (SST), realiza mensualmente la verificación de la ejecución de las actividades en materia de SST para los servidores públicos funcionarios y contratistas de la UAERGTD, conforme a los requisitos legales y necesidades identificadas.
Se lleva a cabo un seguimiento de las actividades programadas en el Plan Anual de Trabajo de SGSST frente a las ejecutadas durante el periodo correspondiente, generando los reportes respectivos y cargando las evidencias pertinentes en el aplicativo STRATEGOS.
En caso de identificar situaciones que puedan dificultar la realización de las actividades previstas en el Plan Anual de Trabajo de SGSST o retrasos en su ejecución, se procede a solicitar la reprogramación de dichas actividades.
Como parte del control y seguimiento, se genera reporte mensual del Plan Anual de SGSST en aplicativo Strategos.</t>
  </si>
  <si>
    <t>TH-RG-4</t>
  </si>
  <si>
    <t>Posible incumplimiento en el seguimiento de los requisitos mínimos exigibles a contratistas internos y externos en materia de SST</t>
  </si>
  <si>
    <t>No observancia de  los requisitos exigibles a los contratistas internos y externos que suministran los bienes y servicios a la UAEGRTD, por falta de seguimiento.</t>
  </si>
  <si>
    <t>Carencia de instrumentos que articulen el seguimiento al cumplimiento de los requisitos mínimos</t>
  </si>
  <si>
    <t>Riesgo asociado al subsistema de Gestión de Seguridad y Salud en el trabajo</t>
  </si>
  <si>
    <r>
      <rPr>
        <sz val="11"/>
        <color rgb="FFFF0000"/>
        <rFont val="Arial"/>
        <family val="2"/>
      </rPr>
      <t xml:space="preserve">
</t>
    </r>
    <r>
      <rPr>
        <sz val="11"/>
        <color rgb="FF000000"/>
        <rFont val="Arial"/>
        <family val="2"/>
      </rPr>
      <t xml:space="preserve">
El Profesional Especializado, en conjunto con los Contratistas y el Equipo de Talento Humano de Seguridad y Salud en el Trabajo (SST), revisa, según necesidad, los requisitos mínimos exigibles a contratistas internos y externos en materia de SST durante la etapa precontractual del proceso a llevar a cabo.
El Grupo de Gestión de Talento y Desarrollo Humano participa en la mesa técnica convocada por el área responsable. Con base en el análisis conjunto con las dependencias involucradas, se solicita la incorporación de los requisitos de SST en la Ficha Técnica correspondiente al proceso contractual.
En caso de identificar desviaciones, el profesional especialista en SST solicita el ajuste de la Ficha Técnica mediante comunicación por correo electrónico y de manera posterior al envio de los ajustes, se verifica y se da el aval para su formalización y continuidad del proceso contractual.
Como evidencia del control, se generan los siguientes documentos:
- Acta de reunión de la mesa técnica o el respectivo correo electrónico.
- Ficha Técnica aprobada.</t>
    </r>
  </si>
  <si>
    <t>Socializar, y/o comunicar a los pares de talento en el Territorio y delegados en el nivel central, los lineamientos para la revisión de calidad de los documentos aportados y el diligenciamiento del formato TH-FO-53 Requisitos en seguridad y salud en el trabajo para la suscripción de un contrato por prestación de servicios profesionales o de apoyo a la gestión.</t>
  </si>
  <si>
    <t xml:space="preserve">
El Profesional Especializado y los Contratistas del equipo de Talento Humano - Seguridad y Salud en el Trabajo (SST), según necesidad, verifica el cumplimiento de los requisitos mínimos exigibles a contratistas en materia de SST.
El profesional del Grupo de Gestión de Talento Humano - SST se asegura de que los requisitos de forma y calidad estén definidos en el formato TH-FO-53: Requisitos en Seguridad y Salud en el Trabajo para la Suscripción de un Contrato de Prestación de Servicios Profesionales o de Apoyo a la Gestión.
En caso de que el interesado no presente los documentos con las especificaciones requeridas o existan aspectos por corregir, el profesional certificado de SST remite nuevamente a través de correo electronico para su ajuste hasta que se cumplan los requisitos mínimos exigibles.
Como evidencia del control, se genera  el formato TH-FO-53: Requisitos en Seguridad y Salud en el Trabajo para la Suscripción de un Contrato de Prestación de Servicios Profesionales o de Apoyo a la Gestión.</t>
  </si>
  <si>
    <t>TH-RG-5</t>
  </si>
  <si>
    <t xml:space="preserve">
Posibilidad de afectación reputacional por fuga de capital humano en la UAEGRTD, por el retiro o reubicación de funcionarios. Debido a la falta de entrega de información por parte de los funcionarios al momento de su retiro o reubicación.</t>
  </si>
  <si>
    <t xml:space="preserve">
Por el retiro o reubicación de funcionarios
Posibilidad de rotación del personal de la URT</t>
  </si>
  <si>
    <t xml:space="preserve">
Debido a la falta de entrega de información por parte de los funcionarios al momento de su retiro o reubicación.
Falta de estrategias
para la trasferencia de
conocimiento.</t>
  </si>
  <si>
    <t xml:space="preserve">Fuga de capital Humano
 Reprocesos 
perdida de memoria institucional </t>
  </si>
  <si>
    <t xml:space="preserve">
El Profesional/Contratista del Grupo de Gestión de Talento y Desarrollo Humano (GGTDH), cada vez que el proceso lo requiera, verifica que los formatos TH-FO-36 - Informe de Retiro, TH-FO-38 - Entrevista de Retiro y TH-FO-37 - Acta de Informe de Gestión estén debidamente articulados con la entrega de información correspondiente.
Desde el GGTDH - Situaciones Administrativas, se envía el acto administrativo al funcionario a través del correo electrónico oficial de Talento Humano, adjuntando los formatos requeridos para la entrega del cargo y explicando el procedimiento de diligenciamiento. Una vez completados y firmados por el funcionario, los documentos originales deben ser remitidos en físico, mediante memorando u oficio, al GGTDH, donde se procederá a verificar su correcto diligenciamiento.
Posteriormente, se realiza el traslado documental para su inclusión en las carpetas de la historia laboral del funcionario. A través del Formato TH-FO-36 - Informe de Retiro, el funcionario relaciona el estado actualizado de las actividades, documentos a cargo y entregados a la fecha. Una vez verificada la información, se procede a realizar la desvinculación del funcionario en la plataforma SIGEP.
En caso de desviaciones, el equipo de Situaciones Administrativas reiterará el cumplimiento del diligenciamiento de los formatos, reenviando la solicitud por correo electrónico.
Como evidencia de la ejecución del control, se generan los siguientes documentos:
TH-FO-36 - Informe de Retiro
TH-FO-38 - Entrevista de Retiro
TH-FO-37 - Acta de Informe de Gestión
Acta de Entrega
Para los casos de retiro, se anexará el pantallazo de la desvinculación en SIGEP.
Correo electronico</t>
  </si>
  <si>
    <t>Realizar una estrategia de comunicación a través del equipo de capacitación con el objetivo de sensibilizar a los funcionarios y/o contratistas de la entrega de la información a cargo de cada uno de ellos.</t>
  </si>
  <si>
    <t>TH-RSI-6</t>
  </si>
  <si>
    <t>Pérdida de la confidencialidad e integridad de la información, tanto física como lógica, de los expedientes laborales (físicos) y las actas del Comité Paritario (COPAAS) en formato físico y de bases de apoyo de tiquetes aéreos y nómina de los colaboradores, por accesos o modificaciones no autorizadas que puede provocar daño reputación y económico a la entidad por la posible publicación de datos personales e información que pude implicar la afectación a un derecho del funcionario  o  información que podrían afectar la vida e integridad de colaboradores o ciudadanos.</t>
  </si>
  <si>
    <t>accesos o modificaciones no autorizadas</t>
  </si>
  <si>
    <t>Procedimiento de alta y bajas de los colaboradores se hace de forma manual.
Posibles debilidades de los sistemas propios (CIVICO) o de terceros (plataformas de agentes de viajes) que soportan esta información.
Uso de OneDrive que se puede acceder desde cualquier PC y que no genera copias de seguridad (tiquetes aéreos).</t>
  </si>
  <si>
    <t>Contiene información de funcionarios, son datos confidenciales y personales, almacenados de forma física aunque se cuenta copias para consulta de forma digital, la falta de seguridad dé el activo puede ocasionar demandas.
Tramitan los tiquetes de las comisiones que debe realizar la Unidad, el tercero conoce el itinerario de los colaboradores y ciudadanos que van a ciudades y requieren tiquetes para su desplazamiento</t>
  </si>
  <si>
    <r>
      <rPr>
        <sz val="11"/>
        <color rgb="FFFF0000"/>
        <rFont val="Arial"/>
        <family val="2"/>
      </rPr>
      <t xml:space="preserve">
</t>
    </r>
    <r>
      <rPr>
        <sz val="11"/>
        <color rgb="FF4472C4"/>
        <rFont val="Arial"/>
        <family val="2"/>
      </rPr>
      <t xml:space="preserve">
</t>
    </r>
    <r>
      <rPr>
        <sz val="11"/>
        <color rgb="FF000000"/>
        <rFont val="Arial"/>
        <family val="2"/>
      </rPr>
      <t>El líder del proceso verifica semestralmente el acceso de los usuarios autorizados a sistemas y servicios, garantizando la prevención de accesos no autorizados.
Como parte de esta verificación, el líder revisa que los funcionarios con acceso a la carpeta compartida, los repositorios físicos y digitales, así como a los sistemas utilizados (SIVICO, Nómina y la plataforma de terceros para tiquetes), sean únicamente los autorizados. Para ello, solicita a la OTI y a los administradores de los demás sistemas un listado de los colaboradores con permisos vigentes, comparándolo con el listado de funcionarios de la Oficina. 
 Si se identifican discrepancias, se gestiona la eliminación de accesos no autorizados o la asignación de permisos faltantes con la OTI, conforme al procedimiento establecido (9.2.5).
Como evidencia de la ejecución del control, se generan:
Correo electrónico o ticket en GLPI con la solicitud de ajuste de permisos.</t>
    </r>
  </si>
  <si>
    <t>Solicitar a la OTI la restauración de las copias de seguridad.</t>
  </si>
  <si>
    <t xml:space="preserve">
El líder del proceso implementa medidas semestrales para proteger la información de la dependencia contra pérdida.
Como parte de estas acciones, verifica que las copias de seguridad generadas por la OTI de la carpeta compartida sean funcionales. Para ello, solicita a la OTI la restauración de las copias, asegurándose de que estén completas y que los archivos restaurados sean operativos. En caso de encontrar problemas con los archivos restaurados, gestiona con la OTI la corrección de la restauración (12.3.1).
En caso de detectar que las copias de seguridad no son completas o no funcionen, se realiza solicitud a la OTI que realice una nueva copia. 
Como evidencia del control, se conserva el ticket en GLPI con la solicitud de restauración.</t>
  </si>
  <si>
    <t xml:space="preserve">
El líder del proceso, ecada vez que se realice el contrato con el proveedor de servicio de tiquetes, garantiza la protección de los activos de la organización accesibles por los proveedores.
Para ello, verifica que el proveedor cumpla con la política de seguridad de la información establecida por la entidad. En caso de que no se incorpore la cláusula de confidencialidad o no se suscriba el acuerdo de confidencialidad, solicita al Grupo de Gestión Contractual e Inteligencia de Mercados que incluyan estos requisitos en el contrato correspondiente.
Como evidencia de la ejecución de este control, se asegura el diligenciamiento del formato GT-FO-20: Acuerdo de Confidencialidad URT - Terceros por parte de cada proveedor de servicios de tiquetes.</t>
  </si>
  <si>
    <t xml:space="preserve">
El líder del proceso asegura semestralmente que la información del proceso reciba un nivel apropiado de protección, de acuerdo con su importancia para la organización.
Para ello, realiza una verificación mediante muestreo, comprobando que los activos de información utilizados en la ejecución del proceso estén registrados y valorados en la Matriz de Activos de Información. Es fundamental que se especifique el sitio de procesamiento y almacenamiento de estos activos, y que cada uno esté correctamente etiquetado según la criticidad de la información que manejan (reservada, clasificada o pública) conforme a los lineamientos establecidos (8.1.1 y 8.2.2).
Adicionalmente, en caso de identificarse nuevos activos o eliminación de algunos, se realizan las modificaciones pertinentes. 
Como evidencia de la ejecución del control, se genera la Matriz de Activos de Información del proceso debidamente actualizada.</t>
  </si>
  <si>
    <t xml:space="preserve">
El líder del proceso garantiza, cuando sea necesario, la restricción y el control en la asignación y uso de derechos de acceso privilegiado.
Cada vez que se requiera, verifica que se haya emitido un comunicado oficial designando al responsable de las cuentas de OneDrive donde se almacena la información del proceso. Este procedimiento se aplica especialmente cuando el responsable de los repositorios de OneDrive se retira de la entidad o cambia de funciones.
En caso de cambios en el personal del equipo de trabajo, el líder del proceso solicita la actualización del responsable del repositorio.
Como evidencia de la ejecución de este control, se conserva el comunicado oficial emitido por el líder del proceso, en el cual se informa y designa al nuevo administrador del repositorio de OneDrive. (9.2.3)</t>
  </si>
  <si>
    <t>TH-RF-7</t>
  </si>
  <si>
    <t xml:space="preserve"> Posibilidad  de efecto dañoso sobre los recursos publicos por  error en el reconocimiento de conceptos dentro del pago mensual de la nómina </t>
  </si>
  <si>
    <t xml:space="preserve"> Inconsistencias en el cargue de novedades en el Software de Nómina</t>
  </si>
  <si>
    <t xml:space="preserve">  Deficiencias en el reporte de la información de las situaciones administrativas,
  Posibles errores en la digitación de las novedades reportadas por los funcionarios de la Unidad
Desconocimiento en la normitividad aplicable y las deduccones o contribuciones. 
Desactualización de las novedades administrativas que impacten la información salarial de los empleados de la URT.
Quejas o reclamos de un servidor debido a inconsistencias en la liquidación de la nómina o conceptos asociados. </t>
  </si>
  <si>
    <t>Riesgo asociasdo al margen de error en el pago de la nómina</t>
  </si>
  <si>
    <r>
      <t xml:space="preserve">
</t>
    </r>
    <r>
      <rPr>
        <b/>
        <sz val="11"/>
        <color rgb="FF000000"/>
        <rFont val="Arial"/>
        <family val="2"/>
      </rPr>
      <t xml:space="preserve">
</t>
    </r>
    <r>
      <rPr>
        <sz val="11"/>
        <color rgb="FF000000"/>
        <rFont val="Arial"/>
        <family val="2"/>
      </rPr>
      <t>El Profesional/Contratista del GGTDH, durante quince  veces a año, garantiza la revisión de los conceptos de nómina para reducir  el margen de error en el pago de la nómina.
El profesional o técnico del equipo de Nómina realiza la validación de las novedades presentadas, verificándolas a través del validador correspondiente. En caso de identificar inconsistencias, estas se corrigen para asegurar la precisión en los pagos.
Como evidencia de este control, se anexa:
- Formato de novedades actualizado mes a mes.</t>
    </r>
  </si>
  <si>
    <t>Realizar reuniones (mes vencido y en la segunda semana del mes) entre el GGTDH y el GGEF para la conciliación de la información de los Certificados de Ingresos y Retenciones (CIR) y la información exógena (formato 2276)</t>
  </si>
  <si>
    <t xml:space="preserve">
El Profesional/Contratista del GGTDH, mensualmente, valida que la liquidación de la nómina cumpla con la normatividad vigente y con los procedimientos establecidos por la unidad, con el fin de minimizar el riesgo de errores en su liquidación.
Para ello, se genera un reporte de pre-nómina a partir del software de nómina, el cual se compara con los validadores en Excel para identificar posibles diferencias. En caso de detectar inconsistencias, se realizan los ajustes necesarios para generar los reportes de nómina definitivos, los cuales son enviados al Ordenador del Gasto para su aprobación, conforme al procedimiento TH-PR-02 Liquidación de Nómina y TH-PR-12 Trámite de Incapacidades y Licencias.
Si se presenta alguna novedad, el profesional de nómina corrige la pre-nómina con los ajustes correspondientes antes de proceder.
Como evidencia de este control, se generan los validadores y los reportes ejecutados desde el software, que se utilizan para la autorización y aprobación de la nómina por parte del Ordenador del Gasto.</t>
  </si>
  <si>
    <t>TH-RF-8</t>
  </si>
  <si>
    <t xml:space="preserve">Posibilidada de efecto dañoso sobre los recursos publicos
al no tener en cuenta los alivios tributarios,  no realizar a tiempo la retención en la fuente practicada a los ingresos laborales de los empleados de la planta 
del descuento mensual por concepto de retención en la fuente. </t>
  </si>
  <si>
    <t xml:space="preserve">Inconsistencias en la liquidación y cálculo de la retención en la fuente practicada a los ingresos laborales de los empleados de la Unidad </t>
  </si>
  <si>
    <t>Deficiencia   en la verificación de los deducibles de retención en la fuente y el recalculo semestral. Falencias en la verificación de los deducibles de retención en la fuente y el recalculo semestral.</t>
  </si>
  <si>
    <t>Sanciones en la DIAN</t>
  </si>
  <si>
    <t xml:space="preserve">
El Profesional/Contratista del GGTDH, semestralmente, realiza la verificación de los soportes pertinentes para mitigar posibles sanciones a los funcionarios por parte de la DIAN.
Si se presenta alguna novedad, el profesional de nómina valida  la revisión de los soportes presentados en el formato TH-FO-50.y realiza la corrección pertinente, una vez validada la informaciòn se notifica para la realizaciòn del pago pertinente
Como evidencia de este control, se anexan los soportes de acuerdo con el formato TH-FO-50.</t>
  </si>
  <si>
    <t>R8</t>
  </si>
  <si>
    <t>TH-RF-9</t>
  </si>
  <si>
    <t>Posibilidad de efecto dañoso sobre los recursos públicos por la perdida del reconocimiento y pago de la prestación económica, por parte de las EPS y ARL
por el no seguimiento al trámite del reconocimiento y pago</t>
  </si>
  <si>
    <t xml:space="preserve"> Inconcistencias para el recobro de la prestación económica </t>
  </si>
  <si>
    <t xml:space="preserve"> Deficiencia en el reporte a tiempo de la incapcidad, por parte del funcionario o en lace de Talento Humano.</t>
  </si>
  <si>
    <t>No causación de las vaciones en el período correspondiente</t>
  </si>
  <si>
    <r>
      <rPr>
        <sz val="11"/>
        <color rgb="FFFF0000"/>
        <rFont val="Arial"/>
        <family val="2"/>
      </rPr>
      <t xml:space="preserve">
</t>
    </r>
    <r>
      <rPr>
        <sz val="11"/>
        <color rgb="FF000000"/>
        <rFont val="Arial"/>
        <family val="2"/>
      </rPr>
      <t>El Profesional/Contratista del GGTDH, cada vez que se presente una incapacidad, asegura la recuperación de los recursos por prestaciones económicas.
El líder del proceso, a través del profesional y/o técnico de GGTDH del equipo de Nómina, realiza el seguimiento al trámite de radicación y cobro de las prestaciones económicas.
En caso de identificar observaciones, estas se subsanan y se reinicia el trámite correspondiente.
Como evidencia del control, se mantienen las bases de datos y el reporte de los saldos para la imputación ante el grupo económico y financiero.</t>
    </r>
  </si>
  <si>
    <t>TH-RF-10</t>
  </si>
  <si>
    <t xml:space="preserve">Posibilidad de fecto dañoso sobre  los recursos públicos  por la debil supervisión y seguimiento alcontrato de tiquetes </t>
  </si>
  <si>
    <t>Perdida de recursos públicos por inconsistencias en una adecuada supervisión</t>
  </si>
  <si>
    <t>Debilidad en la supervisión y seguimiento efectivo en l ejecución financiera del contrato acción que puede generar el incremento en las tarifas para la entidad.</t>
  </si>
  <si>
    <t>Detrimento patromonial a la URT</t>
  </si>
  <si>
    <t xml:space="preserve">
El Profesional/Contratista del GGTDH, trimestralmente, se encarga de la recuperación de los recursos por prestaciones económicas.
El líder del proceso, a través del profesional y/o técnico de GGTDH, verifica el seguimiento al contrato mediante mesas técnicas. Si se presenta alguna novedad  el profesional de apoyo a la supervisión de tiquetes veriifcara el seguimiento a través de los BSP LINK y seguidamente realziara el seguimiento a travez de mesas técnicas con el operador. 
Como evidencia de la ejecución del control, se generan las actas de las mesas técnicas realizadas.</t>
  </si>
  <si>
    <t>Realziar la verificarción de los soportes BSP LINK entregados por  el contratista de tiquetes con el objetivo de constractar y verificar  los precios de los tiquetes genrados a tráves del contrato.</t>
  </si>
  <si>
    <t>GF-RG-4</t>
  </si>
  <si>
    <t>Posibilidad de realizar la legalización definitiva de las cajas menores fuera de los plazos máximos establecidos por el Ministerio de Hacienda y Crédito Público</t>
  </si>
  <si>
    <t xml:space="preserve">Legalizar una Caja Menor de forma Extemporánea, incumpliendo con el lineamiento del Ministerio de Hacienda y Crédito Público para el Reintegro de los recursos, finalizando el año con una caja menor vigente para la siguiente vigencia, presentando como consecuencia un incidente disciplinario. </t>
  </si>
  <si>
    <t>Debido al incumplimiento de los lineamientos establecidos en la Circular de Cierre y a la no realización en los tiempos establecidos por el MHCP del cierre definitivo anual de las cajas menores</t>
  </si>
  <si>
    <t>La legalización definitiva de las  Cajas  Menores se realiza una vez en la vigencia fiscal.</t>
  </si>
  <si>
    <t>El líder de Cajas menores deberá validar que dentro de la Circular de Cierre emitida anualmente por el GGEF se incluyan las fechas limites para la legalización definitiva de todas las Cajas Menores de la Unidad, conforme con los lineamientos dados por el Ministerio de Hacienda y Crédito Público. En el evento en que en la Circular de Cierre se omita incluir la fechas limites para la legalización definitiva de cajas menores, se deberá remitir la información por Correo electrónico. Como evidencia del Control se presentará la Circular de Cierre</t>
  </si>
  <si>
    <t>Verificar el cumplimiento de lo establecido en la Circular de Cierre concerniente al cierre definitivo de las cajas menores</t>
  </si>
  <si>
    <t>El líder de Cajas Menores anualmente deberá verificar la realización de la Legalización definitiva de las Cajas menores, en los tiempos establecidos en la Circular de Cierre siguiendo el Procedimiento de Legalización de Cajas Menores GF-PR-07, dicho proceso quedará evidenciado en la Resolución de Cierre de las Cajas Menores. De presentarse observaciones que impidan la legalización definitiva de la Caja Menor se remitirá correo al Cuentadante con Copia a la Coordinación del GGEF solicitando subsanar la misma a la mayor brevedad. Como evidencia se presenta la Resolución de Cierre de las Cajas Menores (Documentado en el reglamento de Cajas Menores Resolución 00547 de 2020)</t>
  </si>
  <si>
    <t>Acudir al MHCP para que autorice el cierre de la caja menor extemporáneamente</t>
  </si>
  <si>
    <t>GF-RG-5</t>
  </si>
  <si>
    <t>Posibilidad de que la información contable no refleje razonablemente la realidad financiera de la Unidad.</t>
  </si>
  <si>
    <t>Omisión o no revelación de los hechos económicos, que puedan afectar significativamente la realidad económica y financiera de la Unidad</t>
  </si>
  <si>
    <t>Debido a que no se concilien los saldos contables por la no entrega de los informes de las dependencias de la UNIDAD 
Debido a que los estados financieros no tengan una prevalidación frente a la información del SIIF
Debido a que las áreas que aportan información al cierres contable no la entreguen a tiempo.</t>
  </si>
  <si>
    <t>Los Profesionales Especializados Contabilidad mensualmente conciliarán y validarán las cifras del balance, para reflejar la realidad en los estados financieros para lo cual se recibe de las áreas involucradas la información mediante correo electrónico, la misma es verificada y conciliada frente a las cifras reportadas por el SIIF-Nación; cuando se presentan diferencias, se realiza una búsqueda del origen de las diferencias y se procede a realizar el ajuste correspondiente; como evidencia se presentan las conciliaciones. (Documentado en el Procedimiento GF-PR-27-Gestión Contable )</t>
  </si>
  <si>
    <t>Reiterar en la Circular de Cierre la responsabilidad que las dependencias presentan en la razonabilidad de los Estados Financieros</t>
  </si>
  <si>
    <t>El profesional especializado mensualmente validará los Estados Financieros antes de ser emitidos con el fin de asegurar que la información que será publicada sea confiable, verás, razonable y consistente con SIIF, para lo cual La contadora de la URT remite mediante correo electrónico la información al profesional, cuando se presenta alguna diferencia se solicita la aclaración y/o corrección respectiva. Como evidencia se presentan los estados financieros. (Documentado en el Procedimiento GF-PR-27 )</t>
  </si>
  <si>
    <t>Realizar los ajustes necesarios en los Estados Financieros realizando la respectiva revelación en las Notas.</t>
  </si>
  <si>
    <t>El líder del Proceso verificará la remisión del correo electrónico y/o memorando a las áreas que aportan información para el cierre contable, conforme al cronograma establecido con la información de la CGN, con el fin de asegurar que la información sea remitida por las áreas con el tiempo suficiente, para poder analizarla, verificarla, conciliarla e incluirla en los estados financieros. Si la información no es remitida en los plazos establecidos, se remite correo para la entrega de la misma, como soporte se presenta el Cronograma. (Documentado en el Procedimiento GFPR-27).</t>
  </si>
  <si>
    <t>El Contador Anualmente y con el fin de verificar un cierre contable con la razonabilidad requerida, a través a través de la Circular de Cierre dará los lineamientos necesarios a los supervisores, información que debe tenerse en cuenta para el cierre de la vigencia fiscal. De presentarse observaciones se reitera la solicitud de acuerdo a la Circular de cierre a través de correo electrónico, como evidencia se presenta la Circular del Cierre y los correos. (Documentado en el Procedimiento GF-PR-27 )</t>
  </si>
  <si>
    <t>GF-RG-6</t>
  </si>
  <si>
    <t>Posibilidad de expedición de un Certificado de Disponibilidad Presupuestal (CDP) y/o Compromiso de Registro Presupuestal (CRP) por un valor o rubro diferente al solicitado o que no cumpla con los requisitos para su registro</t>
  </si>
  <si>
    <t>El riesgo se materializará cuando un Certificado de Disponibilidad Presupuestal (CDP) y/o Compromiso de Registro Presupuestal (CRP) sea expedido por un valor o rubro diferente al solicitado; o que no cumpla con los requisitos para su registro.</t>
  </si>
  <si>
    <t>Debido a debilidades en la verificación de la Solicitud de Expedición Certificado de Disponibilidad Presupuestal (CDP) y/o Expedición del registro presupuestal.</t>
  </si>
  <si>
    <t>El profesional de presupuesto diariamente verifica la información para prevenir la ocurrencia de errores al validar información presupuestal. Para lo cual recibe la solicitud, valida que la información relacionada en el formato aplicable sea correcta y coincida con la registrada en el Plan Anual de Adquisiciones (PAA), Nómina, Servicios Públicos u otros, así como la disponibilidad de apropiación en el rubro solicitado, verificando en el Sistema Integrado de Información Financiera (SIIF), y da su Visto Buen en el formato.
Posteriormente, el líder de Presupuesto hace una revisión final de lo validado, de encontrar errores se devolverá al solicitante para la subsanación de los errores.. Como evidencia se presenta Planilla de control. (Documentado en el Procedimiento GF-PR-25 )</t>
  </si>
  <si>
    <t>Reducir y/o adicionar los valores de los rubros por los cuales se tenían que haber afectado según base de cupos, manteniendo el valor total del contrato.</t>
  </si>
  <si>
    <t>El profesional de presupuesto diariamente verificara la información para prevenir la ocurrencia de errores al registrar y comprometer el presupuesto de la entidad, para lo cual el profesional de Presupuesto de GGEF que recibe la solicitud, valida que la información relacionada en el Acto Administrativo sea verídica y corresponda presupuestalmente con la disponibilidad de recursos en Sistema Integrado de Información Financiera (SIIF) y procede con el Registro Presupuestal y da su Visto Bueno en el CRP.Posteriormente, el líder de Presupuesto hace una revisión final del CRP y su información y da su Visto Bueno final para continuar con el trámite de la solicitud, de encontrar errores se devolverán al solicitante para la subsanación de los errores, Como evidencia se presenta Planilla de control. (Documentado en el Procedimiento GF-PR-25 )</t>
  </si>
  <si>
    <t>GF-RG-7</t>
  </si>
  <si>
    <t>Posibilidad de la ejecución de un viático o comisión sin la generación del respectivo RP</t>
  </si>
  <si>
    <t>El riesgo de ejecutar un  viáticos o comisión sin cumplir los tiempos establecidos en la resolución vigente.</t>
  </si>
  <si>
    <t>Debido a que El sub grupo de viáticos no solicite al sub grupo de presupuesto el registro presupuestal en SIIF Nación
Debido a que  la solicitud de la comisión no sea tramitada por parte del sub grupo de viáticos en SIVICO</t>
  </si>
  <si>
    <t>El Técnico y o profesional del subgrupo de Viáticos diariamente descarga consolidado generado por el aplicativo SIVICO de las comisiones que cumplen con los requisitos y están autorizadas por el ordenador de gasto, se realiza cruce o validación con el listado de Registros Presupuestales generado por el SIIF Nación, si al verificar se presentan comisiones que no cuentan con registro presupuestal  se realiza el   registro de la comisión  en SIIF Nación o por planilla para posteriormente radicar a Presupuesto la solicitud de generación de Registro Presupuestal, como evidencia del control se presenta el Consolidado de Sivico, el Listado de Registros Presupuestales y Archivo de Comisiones Tramitadas.  (Documentado en el procedimiento GF-PR-28)</t>
  </si>
  <si>
    <t>Informar a la Coordinación del GGEF y a Secretaria para el respectivo seguimiento.</t>
  </si>
  <si>
    <t>El Técnico o profesional de viáticos diariamente valida archivo de control de modificaciones el cual se alimenta diariamente o cada vez que se presenta una modificación en una comisión, esto con el fin realizar registro en SIIF  o planilla y remitir al equipo de presupuesto para generación de registros presupuestales con los nuevos datos de la comisión en caso de que se haya generado con anterioridad el registro presupuestal inicial. Como evidencia del control se presenta archivo de modificaciones.</t>
  </si>
  <si>
    <t>GF-RF-8</t>
  </si>
  <si>
    <t>Posibilidad de efecto dañoso sobre recursos públicos por presentar y pagar extemporáneamente las declaraciones tributarias del orden nacional y territorial o por mayor pvalor pagado o liquidaciones erroneas</t>
  </si>
  <si>
    <t xml:space="preserve">Por el  incumplimiento con las fechas previstas en los diferentes calendarios tributarios a Nivel nacional , presentando como consecuencia las diferentes sanciones monetarias estipuladas. </t>
  </si>
  <si>
    <t>Debido a que  las declaraciones tributarias no sean diligenciadas oportuna y correctamente por el responsable.
Las declaraciones tributarias no presentadas y no pagadas de forma oportuna en las territoriales.
Que se presenten caídas en las páginas de pagos de impuestos.</t>
  </si>
  <si>
    <t>El profesional Especializado de Contabilidad trimestralmente verificará que la base de datos de vencimientos de cada tipo de declaración tributaria este consolidada en un calendario tributario, para lo cual realizará la consulta de los estatutos tributarios, decretos, ordenanzas y/o acuerdos nacionales, departamentales y municipales. Se pueden presentar desviaciones cuando algún municipio no actualiza la información en sus paginas de consulta. Por lo cual la revisión se realiza trimestralmente. Como evidencia se presenta el calendario Tributario. (Documentado en el Procedimiento GF-PR-09 )</t>
  </si>
  <si>
    <t>Socializar el calendario Tributario a los subgrupos de contabilidad y tesorería  para dar cumplimiento a las fechas establecidas para la presentación de impuestos y generar la semaforización de las declaraciones tributarios para evitar presentaciones extemporáneas.</t>
  </si>
  <si>
    <t>El Profesional Especializado Contabilidad / Tesorería mensualmente, verificará que los valores en cada uno de los conceptos y municipios reflejen la realidad de lo retenido y lo declarado, para lo cual en contabilidad se genera una planilla resumen de retenciones con código GF-FO-25, con información descargada del listado de deducciones del SIIF-NACION, esta información es organizada por periodicidad y por municipio, después esta información se envía mediante correo electrónico a la persona encarda de tesorería y ella realiza las validaciones correspondientes. Si se encuentran diferencias las mismas son reportados por correo electrónico a contabilidad para que se realicen los respectivos ajustes. Como evidencia quedan el resumen de Conciliación. (Documentado en el Procedimiento GF-PR-09 )</t>
  </si>
  <si>
    <t>Presentación Extemporánea con el pago de las respectivas sanciones</t>
  </si>
  <si>
    <t>El Profesional Especializado Contabilidad mensualmente verificara que las declaraciones remitidas a las territoriales sean recibidas y presentadas dentro de los tiempos establecidos, para lo cual se remitirán correos electrónicos a los pares financieros, de no recibir las confirmación por parte de los Pares Financieros se procederá a realizar seguimiento telefónico (Documentado en el Procedimiento GF-PR-09 )</t>
  </si>
  <si>
    <t>GF-RF-9</t>
  </si>
  <si>
    <t>Posibilidad de realizar una liquidación errónea en la presentación de las declaraciones tributarias.</t>
  </si>
  <si>
    <t>Se materializa cuando se aplican tarifas diferentes a un mismo concepto de retención o no se aplica la tarifa estando obligado a ello.</t>
  </si>
  <si>
    <t>Debido a que no exista unificación de criterios por parte de los responsables, para aplicar las respectivas tarifas y conceptos de retención
Porque no se actualice periódicamente la Normatividad Tributaria y por ende la base de datos de retenciones que debe ser aplicada</t>
  </si>
  <si>
    <t>El profesional especializado del GGEF de acuerdo con el proceso de contratación de la Unidad y con el fin unificar los criterios de las retenciones tributarias que aplican en los contratos, realiza una socialización de los procesos contractuales que está adelantando la Unidad. conforme esta estipulado en el Proceso de Gestión Contable GF-PR-27, con el fin de, con esta información los profesionales especializados de contabilidad verifican los conceptos tributarios que deberán aplicarse de cada contrato. Si se recibe algún contrato, al cual previamente no se le ha definido las retenciones que aplican, se deberá solicitar al especialista tributario por correo electrónico la respectiva validación. Como evidencia se presentan las Actas de reuniones. (Documentado en el Procedimiento GF-PR-09 )</t>
  </si>
  <si>
    <t>Presentar y/o Pagar la Declaración Tributaria Corregida</t>
  </si>
  <si>
    <t>El profesional especializado de Contabilidad trimestralmente, con el fin de mantener actualizada la información tributaría que se aplicará a los contratos de la Unidad, así como la base de datos de las tarifas y conceptos teniendo en cuenta la territorialidad; verificará la normatividad vigente de los estatutos tributarios, decretos, ordenanzas y/o acuerdos nacionales, departamentales y municipales, en el evento de encontrar alguna diferencia en la revisiones realizadas se actualiza la base de datos con las fechas de modificación, como evidencia se crea una carpeta con los documentos tributarios descargados de las paginas donde se encuentra la información y base de datos actualizada. (Documentado en el Procedimiento GF-PR-09 )</t>
  </si>
  <si>
    <t>GF-RSI-10</t>
  </si>
  <si>
    <t>Posibilidad de pérdida de la integridad, confidencialidad y disponibilidad de la información que es procesada en las carpetas compartidas, el aplicativo SIVICO y los repositorios en Sharepoint, por el acceso no autorizado debido al trabajo colaborativo con varias áreas del proceso, lo que puede ocasionar daños reputacionales a la entidad.</t>
  </si>
  <si>
    <t>El riesgo de acceso no autorizado a las carpetas compartidas.</t>
  </si>
  <si>
    <t>Asignación de los permisos para acceder a la carpeta compartida donde se almacena la información de pago de nómina se hace de forma manual.
Se debe garantizar el ingreso a esta información a colaboradores de varios procesos.
Se tienen carpetas compartidas en Sharepoint para el manejo con COJAI cuya asignación de permisos se hace de forma manual por el proceso.</t>
  </si>
  <si>
    <t>El líder del proceso trimestralmente verifica que los colaboradores con acceso a las carpeta compartida, el aplicativo SIVICO y el Sharepoint sean los autorizados. Lo cual se realiza verificando los accesos. Si se observa que existen colaboradores que ya no deben presentar estos accesos  se realizan las gestiones necesarios para eliminar los permisos. Como evidencia se presenta Pantallazo de los perfiles autorizados</t>
  </si>
  <si>
    <t>Eliminar los usuarios que no presentan perfiles vigentes.</t>
  </si>
  <si>
    <t>El Líder del proceso verifica, semestralmente, que las copias de seguridad que genera la OTI de su carpeta compartida son funcionales, solicitando a la OTI  la restauración de una de las copias y verificando que este completa y los archivos sean funcionales, en caso de encontrar problemas al trabajar con los archivos, solicita a la OTI  la correcta restauración de estos. Como evidencia se presenta la solicitud realizada.</t>
  </si>
  <si>
    <t>GC-RG-2</t>
  </si>
  <si>
    <t>Posibilidad de notificación inoportuna por parte del supervisor del posible incumplimiento en la ejecución del contrato, por omision de las responsabilidades como supervisor debido a la no radicación del memorando interno de la situación ante secretaria general.</t>
  </si>
  <si>
    <t>Omisión a las responsabilidades como supervisor.</t>
  </si>
  <si>
    <t>No radicar el memorando a la secretaria general</t>
  </si>
  <si>
    <t>La no aplicación de la sanción si se presenta el posible incumplimiento</t>
  </si>
  <si>
    <r>
      <t xml:space="preserve">
El supervisor del contrato cada vez que se requiera, notifica oportunamente el posible incumplimiento de la ejecución del contrato mediante la radicación del memorando interno de la situación ante secretaria general, de acuerdo con lo estipulado en la GC-PR-14 Gestión De Presuntos Casos Sancionatorios y en caso de ser necesario afectar las garantías únicas de cumplimiento o para dar continuidad a la etapa contractual, en el numeral 7.1.1 Análisis por parte del supervisor, así mismo, como lo establece en el manual de contratación supervisión e interventoría GC-MA-02 numeral 8.4.2 “especificas en la etapa contractual, donde se debe Informar de manera oportuna al Ordenador del Gasto cuando los requerimientos no hayan sido atendidos a satisfacción o en forma adecuada para solicitar el inicio del proceso sancionatorio una vez se determine el posible incumplimiento de obligaciones a cargo del contratista y se concluya la imposibilidad de obtener su cumplimiento a través de las actividades ordinarias de supervisión, determinando la cuantía y en caso de no poderse definir con exactitud al momento de la comunicación, debe ser presentados por el supervisor mediante un estimativo, con el fin de determinar la procedencia de la aplicación de sanciones, de conformidad con lo previsto en la ley y lo pactado en el contrato. </t>
    </r>
    <r>
      <rPr>
        <sz val="11"/>
        <rFont val="Arial"/>
        <family val="2"/>
      </rPr>
      <t xml:space="preserve">En caso de que no se remita la notificación se generaran posibles hallazgos o investigaciones por entes de control, como evidencia de ejecución de este control se determina el memorando  interno, el informe de supervisión y los soportes documentales en medio físico o magnético. que evidencien la renuencia o falta de disposición del contratista al cumplimiento de las obligaciones contractualmente pactadas. (Oficios, actas de reunión, actas de compromiso, cronograma, entre otros).
</t>
    </r>
    <r>
      <rPr>
        <sz val="11"/>
        <color theme="1"/>
        <rFont val="Arial"/>
        <family val="2"/>
      </rPr>
      <t xml:space="preserve">
</t>
    </r>
  </si>
  <si>
    <t xml:space="preserve">
Comunicar al supervisor las obligaciones para desarrollar la actividad.
</t>
  </si>
  <si>
    <t xml:space="preserve">Cada vez que se requiera a solicitud de supervisores, Directores, Coordinadores, Jefes, Lideres o por autonomia del GGCIMAD por medio de un correo electrónico al Coordinador GGCIMAD y como se indica en   el numeral 8.5.3.1 del Manual de Contratación Supervisión e Interventoría GC-MA-02  Por parte del Grupo de Gestión en Contratación e Inteligencia de Mercados del manual de contratación supervisión e interventoría GC-MA-02:  se realizan Mesas de Atención a la Supervisión (MAS) brindando un soporte administrativo, que permite un correcto seguimiento en las diferentes etapas de los Contratos, Convenios, Acuerdos u Órdenes de Compra que celebra la UAEGRTD. En caso de desconocer este recurso, se informa que por medio del documento GC-MA-02 Manual de Contratación, Supervisión e Interventoría se encuentra publicado en el sistema de información Strategos;  asi mismo como evidencia de ejecución de este control se determina el correo electrónico de la solicitud para realizar la mesa de Atención a la supervisión y la  citación por parte de GGCIMAD para llevar a cabo la (MAS)
Nota: es de aclarar que, bajo ninguna circunstancia quienes conforman el personal designado para las MAS supervisan el cumplimiento de las obligaciones contractuales de la UAEGRTD, ni son responsables de ello. </t>
  </si>
  <si>
    <t xml:space="preserve"> 
Reportar por parte del supervisor  al ordenador del gasto y al GGCIMAD sobre el posible incumplimiento contractual. 
Remitise al procedimiento GC-PR-14 PROCEDIMIENTO GESTIÓN PRESUNTOS CASOS SANCIONATORIOS  para la toma de acciones correspondientes a la materialización</t>
  </si>
  <si>
    <t>GC-RSI-3</t>
  </si>
  <si>
    <t>Posibilidad de pérdida de la disponibilidad de la base de datos contractual por el cese o cambio de actividades del colaborador dueño de la cuenta del OneDrive donde la información es almacenada, debido a la falta de lineamientos sobre el manejo de la información que podría causar un impacto negativo a la reputación de la entidad  por la inoportuna respuesta a requerimientos de entes de control</t>
  </si>
  <si>
    <t>cese o cambio de actividades del colaborador dueño de la cuenta del OneDrive donde la información es almacenada</t>
  </si>
  <si>
    <t>Falta de lineamientos sobre el manejo de la información</t>
  </si>
  <si>
    <t>El dueño del repositorio de OneDrive, donde se almacenan estas bases de datos, ha compartido el acceso a dos personas más</t>
  </si>
  <si>
    <t>El Administrador de la cuenta de correo electronico dispuesta para el control de la información del proceso de Gestión Contractual,  De manera mensual realizará una copia de seguridad al cierre de cada mes en la carpeta compartida asignada al proceso de gestión contractual para garantizar el acceso a la información mensual desde otra herramienta de almacenamiento  diferente al onedrive y a la cuenta de correo.
Diariamente los usuarios autorizados por el proceso actualizan y trabajan desde el onedrive de la cuenta infocontractual@urt.gov.co; identificandola con un numero de version. mediante el reemplazo de la copia de la base de datos de contractual en la carpeta compartida. 
Asi mismo el administrador de la cuenta se encargara de almacenar en la carpeta compartida del GGCIMAD.
 ante dificultades de acceso desde el correo dispuesto para el control de las bases de datos que genere el GGCIMAD, se concederan accesos de edición al archivo al Coordinador del GGCIMAD y al funcionario(a) designado que para todo caso deberá ser diferente al administrador de la cuenta infocontractual@urt.gov.co
Pantallazo de evidencia  con la base contractual descargada  cada mes la cual es aloja en la carpeta compartida del GGCIMAD.</t>
  </si>
  <si>
    <t>Solicitar a la OTI la restauración de los backups, definiendo el orden en que se debe restablecer.</t>
  </si>
  <si>
    <t>Mediante comunicación oficial indicando que con vigencia de contrato se informa al responsable de la cuenta de onedrive  la entrega de la administración de la base de datos contractual.
Una vez el responsable de la cuenta en onedrive se retira de la entidad o cambia de actividades se solicita que realice la notificación de retiro o cambio para reasignar  por el coordinador GGCIM el responsable de la administración de la base de contratos en el one drive. 
Solicitar a la OTI permisos de acceso para el nuevo administrador de la carpeta compartida donde se almacena la base de datos contractual
En caso de no poderse realizar la comunicacion oficial por el coordinador se manejara con uno de los administradores disponibles en su momento.
Como evidencia de ejecución de este control se presenta la Comunicación oficial del coordinador para la cancelacion o concesion a la base de datos de one drive notificando al administrador  la entrega y responsabilidad de generar las copias de respaldo en la carpeta compartida. 
GLPI atendido por OTI con el permiso del nuevo administrador para acceder a la carpeta compartida.</t>
  </si>
  <si>
    <t>GC-RF-4</t>
  </si>
  <si>
    <t>Posibilidad de efecto dañoso sobre recursos publicos por la 
aprobacion de informes de actividades y pago a contratistas sin los respectivos soportes de cumplimiento a las obligaciones contractuales, teniendo en cuenta la politica de tratamiento de datos y datos sensibles.</t>
  </si>
  <si>
    <t xml:space="preserve">
Dificultad  para la verificación y fallta de  trazabilidad  en la ejecución y cumplimiento de la etapa contractual y postcontractual por cambio y falta de soportes del colaborador y/o supervisor.
Deficiencias en  las funciones de Supervisión e Interventoría de los contratos de la Entidad.
</t>
  </si>
  <si>
    <t xml:space="preserve">
Omisión a las responsabilidades del supervisor.</t>
  </si>
  <si>
    <t>Consecuencias: Responsabilidad penal, fiscal y disciplinario para los servidor publicos que ejercen labores de supervisión.</t>
  </si>
  <si>
    <t>El (la) Ordenador(a) del gasto designa el supervisor de los contratos una vez el contrato cumple con los requisitos de ejecución de acuerdo a lo establecido en el estudio previo o por solicitud de cambio de supervisor de acuerdo a lo contenido en el   GC-MA-02 MANUAL DE CONTRATACIÓN Y SUPERVISIÓN E INTERVENTORÍA  para ejercer la vigilancia tecnica, administrativa y financiera sobre la ejecución del contrato.
Este se realizará durante la vigencia y cuando se suscriba un contrato en la entidad y cada vez que se realice un cambio o desginación de supervisión por el Ordenador (a) del gasto. El supervisor se encarga de realizar el seguimiento técnico, financiero, juridico, contable y administrativo a la ejecución del objeto contractual.
El supervisor se encarga de revisar las evidencias presentadas por el contratista y que rinden cuenta de la ejecución de las obligaciones contractuales y que soportan los formatos de   GC-FO-16 INFORME DE ACTIVIDADES Y CERTIFICACION DE SUPERVISOR(ES) CONTRATOS DE PRESTACION DE SERVICIOS PROFESIONALES O DE APOYO A LA GESTION GC-FO-15 y el INFORME DE SUPERVISIÓN (según corresponda) para su suscripción.
Un vez revisados, aprobados los soportes del cumplimiento de obligaciones y suscritos los formatosde INFORME DE ACTIVIDADES Y CERTIFICACION DE SUPERVISOR(ES) CONTRATOS DE PRESTACION DE SERVICIOS PROFESIONALES O DE APOYO A LA GESTION GC-FO-15 y el INFORME DE SUPERVISIÓN GC-FO-16 (según corresponda) el supervisor se encargará de alimentar los expedientes fisicos y digitales de los contratos supervisados teniendo en cuenta lo establecido en el MANUAL DE CONTRATACIÓN Y SUPERVISIÓN E INTERVENTORÍA GC-MA-02, y  la GUÍA PARA LA ORGANIZACIÓN DE EXPEDIENTES CONTRACTUALES GD-GU-03 y la normativa vigente en cuanto a la Ley de transparencia y acceso a la información .
Se genera alerta, frente a la actualización del expediente contractual.
una vez almacenados todos los documentos que rindan cuenta de la ejecución las evidencia se cargara la
 base de contratos identificando número de contrato, contratista, dependencia, dirección territorial, plazo de ejecución, supervisor y link del proceso; donde se encuentra alojada la información en plataforma SECOP II.</t>
  </si>
  <si>
    <t xml:space="preserve">Realizar Mesas de Atención a la supervision que de manera periodica refuercen la buenas practicas, frente al ejercicio de la supervisión y de asegurar la soportabilidad de la información en cuenta a la etapa de ejecución contractual. </t>
  </si>
  <si>
    <t xml:space="preserve">Revisar  la GUÍA PARA LA CONFORMACION DE EXPEDIENTES CONTRACTUALES  GD-GU-03 para verificar  que se encuentre acorde con los lineamientos de getión documental 
</t>
  </si>
  <si>
    <t xml:space="preserve">Revisar MANUAL DE CONTRATACIÓN Y SUPERVISIÓN E INTERVENTORÍA GC-MA-02 para verificar  que se encuentre acorde con los lineamientos de getión documental 
</t>
  </si>
  <si>
    <t>Socializar pautas y buenas paracticas para la ejecución de un buen ejercicio de supervisión; en la busqueda constante de fortalecer el ejercicio de la supervisión. Boleitin a la supervisión
De acuerdo con lo consignado en el Manual de Contratación, Supervisión e Interventoría GC-MA-02  y la  Guía para la organización de expedientes GD-GU-03</t>
  </si>
  <si>
    <t>Informar a las dependencias para la toma de acciones correspondientes a la materialización</t>
  </si>
  <si>
    <t>GC-RF-5</t>
  </si>
  <si>
    <t>Posibilidad de efecto dañoso sobre recursos publicos por la 
suscripción de acta de liquidación con presuntas imprecisiones de fondo</t>
  </si>
  <si>
    <t xml:space="preserve">suscripción de actas de liquidación con saldos a favor o en contra de la entidad que no fueron detectadas con la información que reposa en los expedientes contractuales.
Suscripción de acta de liquidación sin relacionar las sanciones impuestas al contratista </t>
  </si>
  <si>
    <t>Consecuencias: Responsabilidad penal, fiscal y disciplinario para los servidores publicos que suscriben el acta de liquidación</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</si>
  <si>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vez que un contrato diferente a CPS termine su plazo de ejecución y antes de que se cumpla el plazo establecido en la Ley. determinando si las partes pueden declararse a paz y salvo mutuo o si existen obligaciones por cumplir y la forma en que deben ser cumplidas.  Una vez proyectada el acta de liquidación por parte del GGCIMAD, el supervisor se encargara de revisar que la información contenida en la misma corresponda con la realidad de la ejecución del contrato. de encontrarse una inconsistencia el supervisor deberá en un plazo no mayor a 10 días hábiles informar al GGCIMAD los errores encontrados y señalar en que folio se encuetra la información dentro del expediente contractual. 
Como evidencia de la ejecución del control se tiene: 
- Base de solicitudes de liquidación
- Memorandos de envio de la liquidación para firma del contratista, supervisor  y/o provedor.
Se proporsionara un usuario en la  plataforma SECOP II, para verificar el acta  de liquidación o cierre del proceso o contrato.</t>
  </si>
  <si>
    <t>GC-RF-6</t>
  </si>
  <si>
    <t>Posibilidad de efecto dañoso por la perdida de competencia para liquidar los respectivos contratos  por vencimiento del plazo legal, con posibles saldos a favor para la entidad o el proveedor  y la  no exigibilidad de las actas de liquidación de contratos o convenios que reconocen saldos a favor para la entidad o el proveedor.</t>
  </si>
  <si>
    <t>Incumplimiento de los terminos de ley.
Saldos o recursos a favor no cobrados.</t>
  </si>
  <si>
    <t xml:space="preserve">
Omisión a las responsabilidades del supervisor.
Falta de seguimiento a los terminos de ley para efectuar la  liquidación dentro de los tiempos establecidos </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</si>
  <si>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que un contrato diferente a CPS termine su plazo de ejecución y antes de que se cumpla el plazo establecido en la Ley, determinando si las partes pueden declararse a paz y salvo mutuo o si existen obligaciones por cumplir y la forma en que deben ser cumplidas.  si pasados 30 días calendario el supervisor no ha solicitado la liquidación del contrato, desde el GGCIMAD se pocederá a remitir comunicaciones oficiales al supervisor con copia a su superior jerarquico solicitando se realicen los tramites correspondientes para la solicitud de proyección de acta de liquidación del contrato. si una vez cumplidas las 2 terceras partes del plazo otorgado por la Ley para la liquidación del contrato y el supervisor del contrato no ha radicado la solicitud del contrato el GGCIMAD procedera a remitir comunicación oficial a la Secretaría General para que se realicen los tramites correspondientes, así mismo, se iniciara con el tramite de liquidación con la información contenida en el expediente.
una vez terminado el plazo de ejecución y trasnscurridos los 30 días calendario despues de este plazo las evidencias seran los correos de solicitud de tramite de liquidación del contrato y en aquellas situaciones donde aplique la comunicación a la Secretaría General notificando la falta del supervisor.
- Base de solicitudes de liquidación
Se proporsionara un usuario en la  plataforma SECOP II, para verificar el acta  de liquidación o cierre del proceso o contrato.</t>
  </si>
  <si>
    <t>GC-RF-7</t>
  </si>
  <si>
    <t xml:space="preserve"> Posibilidad de efecto dañoso por la no  identificación, cobertura y  tratamiento del riesgo contractual, o matriz de riesgo insuficiente o descontextualizada respecto a la realidad del contrato</t>
  </si>
  <si>
    <t>Pagos efectuados a causa de riesgos previsibles que debieron ser asignados al contratista en la matriz de riesgos consolidada dentro del proceso de selección</t>
  </si>
  <si>
    <t>Omisión de riesgos previsibles por parte de dependencia solicitante y del equipo juridico que estructura la matriz de acuerdo a la necesidad.</t>
  </si>
  <si>
    <t>Consecuencias: Responsabilidad penal, fiscal y disciplinario para los servidores publicos y colaboradores que estructuran la matriz</t>
  </si>
  <si>
    <t xml:space="preserve">La dependencia solicitante junto con el Grupo de Gestión en Contratación,  Inteligencia de Mercado y Analitica de Datos identifican los riesgos asociados al proceso de selección  teniendo en cuenta el Manual para la Identificación y Cobertura del Riesgo en los Procesos de Contratación expedido por la Agencia Colombiana de Contratación Pública -Colombia Compra Eficiente. Cada vez que se estructuren los Estudios Previos para procesos de selección en el formato GC-FO-05. con el fin de identificar  y clasificar los riesgos asociados al proceso, así como la formulación del su  respectivo tratamiento.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una vez terminadas la estructuración de los Estudios Previos GC-FO-05 y las etapas de prepliegos y pliegos definitivos,  las evidencias son:
El Estudio Previo GC-FO-05
Matriz de riesgos en formato excel publicada en la plataforma del Sistema Electrónico de Contratación Pública - SECOP I o II de Agencia Nacional de Contratación Publica - Colombia Compra Eficiente.
Materialización de riesgos  (cuando se presente) </t>
  </si>
  <si>
    <t xml:space="preserve">Realizar mesas de trabajo para la estructuración del estudio previo 
</t>
  </si>
  <si>
    <t xml:space="preserve">Matriz de riesgos en formato excel cargada en el Sistema Electrónico de Contratación Pública - SECOP I o II de Agencia Nacional de Contratación Publica - Colombia Compra Eficiente.
</t>
  </si>
  <si>
    <t xml:space="preserve">En caso que se llegase a identificar riesgos no previsibles en la ejeción del contrato que no fueron incorporados en la matriz se documentará para que sean tenidos en cuenta en futuros procesos. </t>
  </si>
  <si>
    <t>AC-RG-1</t>
  </si>
  <si>
    <t>Posible incumplimiento de requisitos de accesibilidad, enfoque diferencial y enfoque psicosocial en la atención a la ciudadanía y grupos de valor.</t>
  </si>
  <si>
    <t>Debilidades en la implementación de las estrategias establecidas por el Grupo de Atención y Servicio a la Ciudadanía de la entidad frente a los lineamientos del Departamento Administrativo de la Función Pública y las normas aplicables al proceso de atención a la Ciudadanía, relacionadas con accesibilidad, enfoque diferencial y enfoque psicosocial en la atención a víctimas.</t>
  </si>
  <si>
    <t>Falencias en el proceso de socialización interna de los lineamientos y estrategias definidas para la atención a la ciudadanía garantizando el principio de accesibilidad universal (NTC 6047), enfoque diferencial y el enfoque psicosocial de atención a la ciudadanía y grupos de valor de la URT.
Desconocimiento de las competencias, lineamientos técnicos y normativos relacionados con accesibilidad, enfoque diferencial y enfoque psicosocial, por parte de los secvidores de la URT en la prestación del Servicio a la Ciudadanía. Lo anterior de acuerdo con lo establecido en el Decreto 1083 de 2015.
Debilidades en el uso y apropiación de las herramientas que permiten la accesibilidad a personas con discapacidad en el marco de la atención a la ciudadanía.</t>
  </si>
  <si>
    <r>
      <rPr>
        <sz val="11"/>
        <color theme="1"/>
        <rFont val="Arial"/>
        <family val="2"/>
      </rPr>
      <t>El Grupo de Gestión en  Atención y Servicio a la Ciudadanía, cada seis meses, revisará el cumplimiento de lineamientos técnicos y normativos con el fin de dar cumplimiento a los parámetros del Gobierno Nacional en los temas de atención a la ciudadanía que se encuentren vigentes. Lo anterior, a través de mesas de trabajo para la revisión de los lineamientos y normas generadas en atención a la ciudadanía, incluidas dentro de los planes institucionales de la entidad. En caso de presentarse desviaciones se realizarán los ajustes necesarios en las actividades de los planes institucionales mencionados anteriormente.  Como evidencia se presentarán las actas de las mesa de trabajo realizadas.</t>
    </r>
    <r>
      <rPr>
        <sz val="11"/>
        <color rgb="FFFF0000"/>
        <rFont val="Arial"/>
        <family val="2"/>
      </rPr>
      <t xml:space="preserve">
</t>
    </r>
  </si>
  <si>
    <t xml:space="preserve">Realizar una mesa de trabajo para evaluar las causales de los requisitos incumplidos y mediante una socialización fortalecer en las dependencias o DT los temas  que se incumplieron. 
</t>
  </si>
  <si>
    <t>El Grupo de Gestión en Atención y Servicio a la Ciudadanía cada tres meses  validará que los colaboradores de Atención a la Ciudadanía conozcan las herramientas que permiten la accesibilidad  a personas en condiciones de discapacidad, mediante una evaluación de conocimiento a los colaboradores de Atención a la Ciudadanía sobre el uso de herramientas que permiten la accesibilidad digital. En caso de identificarse debilidades en los aspectos relacionados con accesibilidad, se procederá a realizar las sensibilizaciones correspondientes sobre alfabetización digital. Como evidencia se presentará el análisis de las evaluaciones obtenidas en las diferentes socializaciones.</t>
  </si>
  <si>
    <t>AC-RG-2</t>
  </si>
  <si>
    <t>Posible incumplimiento en la oportunidad de respuesta de PQRSDF</t>
  </si>
  <si>
    <t>Debilidades en el seguimiento y control de los términos de respuesta de las PQRSDF</t>
  </si>
  <si>
    <t>Desconocimiento de la normatividad relacionada con el cumplimiento de términos o plazos de ley para emitir respuesta a las PQRSDF.
Debilidades en el traslado oportuno por competencia de PQRSDF al interior de la URT.
Falta de apropiación de los recursos tecnológicos dispuestos en la entidad para el seguimiento de las PQRSDF.</t>
  </si>
  <si>
    <t>El Grupo de Atención y Servicio a la Ciudadanía diariamente verificará el traslado oportuno de las PQRSDF recibidas en la entidad, teniendo en cuenta las competencias para emitir respuestas en el nivel central y las Direcciones Territoriales -DT. A través del sistema ORFEO o la herramienta teconologica que se determine, la dependencia realizará el control adecuado y el traslado oportuno a las dependencias y Direcciones Territoriales. En caso de no trasladar oportunamente las PQRSDF y ante la disminución del término con el que contaría el competente para dar respuesta,  se analizarán los tiempos de asignación de las PQRSDF en el aplicativo ORFEO al interior del equipo y se establecerán unas acciones correctivas para que el traslado se realice en el mismo dia de la recepción de la peticion, por los medios de radicación autorizados de manera formal. Para los casos de reasignaciones y mala tipificación en la herramienta ORFEO o cualquiera que se determine, se hará un informe por parte del lider de canal escrito explicando las razones y generando acciones preventivas y correctivas para subsanar la situación.
Asi mismo, el analista de datos del GGASC realizará la verificación diaria a través del informe de validación en el que denerá registrar los motivos por los cuales se incurrio en demoras, mala tipoficacion o reasignaciones, para posteriormente reportar la situacion mencionada a OTI para que se hagan mejoras en la herramientas y poder responderle a la ciudadanía dentro de los terminos de ley.</t>
  </si>
  <si>
    <t xml:space="preserve">Identificar e informar cada mes al Subcomité de Transparencia y la Secretaria General de la URT, las 5 Direcciones Territoriales y las 5 dependencias del nivel central con mayor numero de PQRSDF pendientes de respuesta y cuyo termino está proximo a vencer o se encuentra vencido. 
De igual manera, el lider de canal escrito citará cada trimestre una mesa de trabajo con los enlaces de PQRSDF de las DT y las dependencias del nivel central, para identificar las causas del incumplimiento y hacer seguimiento a los cierres con radicados de salida de las peticiones.
</t>
  </si>
  <si>
    <t>El Grupo de Gestión en Atención y Servicio al Ciudadanía cada cuatro meses validará la adecuada utilización de las herramientas tecnológicas y recursos de la URT para la correcta categorización, asignación, tipificación, indexación y respuesta a PQRSDF. El control se realizará mediante seguimiento a las labores del canal escrito por medio de preguntas de seguimiento relacionadas con requerimientos normativos y técnicos. 
En caso de evidenciar inadecuada utilización o apropiación de las herramientas tecnológicas dispuestas en la entidad para el seguimiento de PQRSDF, el líder de canal escrito realizará cada cuatro meses una socialización para el adecuado uso de los aplicativos o sistemas de gestión de las PQRSDF. El Proceso evaluará si el seguimiento puede hacer de manera automatizadas a través de mejoras en el sistema ORFEO o la herramienta que se disponga para tal fin. Como evidencia, se presentará el reporte mensual del seguimiento realizado a la gestión del canal escrito y las actas de las tres reuniones de socialización realizadas por el líder de canal escrito.</t>
  </si>
  <si>
    <t>Generar un plan de trabajo con los Directores Territoriales o jefes de las dependiencias del Nivel central que persisten en el vencimiento de los terminos de ley para dar respuesta a la PQRSDF asigndas por competencia, con el fin de atender y subsanar de manera prioritaria esta situación y evitar que suceda de manera reiterada, de igual manera evaluar con la Secretaria General de la URT, la aplicación de las medidas previstas para estos casos en la Resolución interna 00818 de 2022 que reglamenta el trámite de las PQRSDF.</t>
  </si>
  <si>
    <t xml:space="preserve">El Grupo de Gestión en Atención y Servicio a la Ciudadanía cada mes verifica el cumplimiento a los términos de respuesta según la normatividad vigente. A través del envío de las alertas tempranas con frecuencia diaria y semanal a las DT y dependencias del nivel central como accion preventiva para dar respuesta oportuna a las PQRSDF. En caso de tener debilidades en el seguimiento y control de los términos de respuesta a las PQRSDF, se socializará el manejo de términos establecidos en la Ley 1755 de 2015 y normas complementarias.Como evidencia se presentarán los correos electrónicos de las alertas enviadas a los enlaces de PQRSDF y el seguimiento diario a los cierres de las PQRSDF con el respectivo radicado de salida del sistema ORFEO o la herramienta que se disponga para tal fin.
</t>
  </si>
  <si>
    <t>AC-RSI-4</t>
  </si>
  <si>
    <t>Posible pérdida de la confidencialidad y disponibilidad de las bases de datos de registros de llamadas y de la cuenta de WhatsApp para la atencion del canal chat de la URT, por el acceso no autorizado o por el borrado de la  información, que podría causar un impacto negativo económico y reputacional a la entidad por la posible publicación de datos sensibles y personales.</t>
  </si>
  <si>
    <t>Acceso no autorizado o borrado de la  información de la Bases de recepción de llamadas y la cuenta de WhastApp del canal chat de la URT</t>
  </si>
  <si>
    <t>Confianza en las medidas de seguridad que tiene el proveedor del servicio (ETB) para proteger la información almacenada.
Los permisos de acceso de usuarios, a la carpeta compartida y los repositorios de OneDrive donde se almacenan las bases, son otorgados a través de un proceso manual.
La cuenta de WhatsApp se mantiene activa en los equipos de los contatistas que apoyan la gestión del proceso.
Debilidades en la generación de una copia de seguridad de las bases de datos almacenadas en OneDrive.</t>
  </si>
  <si>
    <t>El Activo contiene información sensible y personal de ciudadanos en condiciones de vulnerabilidad</t>
  </si>
  <si>
    <t xml:space="preserve">
El analista de datos diariamente realiza el backup de las 5  bases de datos desde el onedrive, mediante el reemplazo de la copia de las bases de datos en la carpeta compartida. 
</t>
  </si>
  <si>
    <t>Solicitar  a la OTI, a través de un GLPI, la restauración del back up de las bases de datos afectadas.</t>
  </si>
  <si>
    <t>El lider de proceso, cuando así lo requiera, remitira un correo institucional indicando que con vigencia del contrato de apoyo a la gestión se le informa que ha sido designado como responsable de la cuenta de onedrive y se le hará la entrega de la administración de las bases de datos. Una vez el responsable de la cuenta en onedrive se retira de la entidad o cambia de actividades se solicita que realice la notificación de retiro o cambio para reasignar  por el coordinador GGASC el nuevo responsable de la administración de las bases de datos en el one drive. 
Además se deberá Solicitar a la OTI permisos de acceso para el nuevo administrador de la carpeta compartida donde se almacenan las bases de datos.
En caso de no poderse realizar la comunicacion oficial por el coordinador se manejara con uno de los administradores de la base de datos que se encuentren disponibles en su momento
Como evidencia de ejecución de este control se presentará la comunicación de la coordinación del GGASC para la cancelación o concesión de permisos de acceso y administracion de la bases de datos de one drive, notificando al administrador  la entrega y responsabilidad de generar las copias de respaldo en la carpeta compartida. 
Además se presentará el GLPI atendido por OTI con el permiso del nuevo administrador para acceder a la carpeta compartida</t>
  </si>
  <si>
    <t>El lider de proceso, cada vez que cambie alguno de los responsables de la administración del repositorio de WhatsApp, reestrablecerá la contraseña que permite el ingreso a este buzón y le da acceso al celular, comunicando la nueva contraseña sólo al lider de canales quien tiene la responsablidad de su administración, y será el único que tenga acceso a la información y reponderá por la adecuada interacción con la ciudadania.
Como evidencia de ejecución de este control se presentará el correo de la coordinación del GGASC a los responsables para la administración del whatsapp.
Actualización del archivo en OneDrive del documento donde se almacenan las claves de acceso del celular y del whatsapp cada vez que cambie de responsable.</t>
  </si>
  <si>
    <t>EVALUACIÓN</t>
  </si>
  <si>
    <t>CD-RG-3</t>
  </si>
  <si>
    <t>Posibilidad de Inoportunidad en el trámite de la acción disciplinaria.</t>
  </si>
  <si>
    <t>Sobrecarga laboral.
Ausencia de personal en la dependencia.
Volúmen alto de procesos en rezago o sin aperturar.</t>
  </si>
  <si>
    <t>Volúmen alto de procesos en rezago o sin aperturar.</t>
  </si>
  <si>
    <t>Talento humano</t>
  </si>
  <si>
    <t>Vencimiento de términos, prescripción y/o caducidad del proceso.</t>
  </si>
  <si>
    <t>Medición del grado de avance en la atención de los procesos a través de un indicador de proceso.</t>
  </si>
  <si>
    <t>Formular un indicador de eficacia que permita hacer seguimiento y tomar decisiones oportunas frente a la gestión de los casos allegados a la OCID.</t>
  </si>
  <si>
    <t>CD-RG-4</t>
  </si>
  <si>
    <t>Posibilidad de Inadecuado seguimiento a los procesos y actuaciones realizadas por los responsables de los mismos.</t>
  </si>
  <si>
    <t>Ausencia de orientaciones frente al manejo, seguimiento, control y revisión de los procesos por parte de los responsables de los casos.</t>
  </si>
  <si>
    <t>Retroalimentación continua a los profesionales de la dependencia, en relación con las actuaciones y documentación asociada a los procesos patra su impulso y trámite.</t>
  </si>
  <si>
    <t>CD-RSI-5</t>
  </si>
  <si>
    <t>Posibilidad de Pérdida o deterioro de la información contenida en los archivos de gestión y/o expedientes disciplinarios de la OCID. (Integridad)</t>
  </si>
  <si>
    <t>Inadecuado manejo de los expedientes por parte del profesional responsable.
Archivo de gestión sin la infraestructura adecuada.
Préstamo de expedientes sin previo registro de control del mismo.
Acceso no restringido al archivo de gestión.</t>
  </si>
  <si>
    <t>Inadecuado manejo de los expedientes por parte del profesional responsable.</t>
  </si>
  <si>
    <t>Recontrucción de(los) expediente(s).
Dilación de los procesos.</t>
  </si>
  <si>
    <t>Sensibilización a los colaboradores de la dependencia en el uso adecuado y disposición de los expedientes.</t>
  </si>
  <si>
    <t>Digitalización continua y total de los expedientes.</t>
  </si>
  <si>
    <t>Implementación de una planilla de préstamo de expedientes.</t>
  </si>
  <si>
    <t>Control de acceso a la dependencia y al archivo a través de biometría.</t>
  </si>
  <si>
    <t>Solicitar el retiro de las credenciales de acceso a los colaboradores y/o funcionarios que ya no trabajan en la OCID.</t>
  </si>
  <si>
    <t>CI-RG-2</t>
  </si>
  <si>
    <t>Posibilidad de pérdida reputacional debido a la entrega de resultados de evaluación y seguimiento que no cumplen con los procedimientos y métodos de auditoría definidos  para el establecimiendo adecuado de la madurez del SCI y el cumplimiento de los requisitos normativos e internos definidos.</t>
  </si>
  <si>
    <t xml:space="preserve">1. Identificación deficiente de los riesgos de auditoría, en el marco de un ejercicio de evaluación o seguimiento.
2. Los resultados de evaluación emiten recomendaciones que redundan en actividades que ya operan y están identificados en otros planes institucionales de la Unidad.
3. La posibilidad de recibir  información parcial del auditado que no permita identificar eventos que impacten el cumplimiento de los objetivos, la imagen institucional o detrimento patrimonial, entre otros.
</t>
  </si>
  <si>
    <t xml:space="preserve">1. La aplicación de los métodos y lineamientos de auditoría no sean consistentes con el objetivo, alcance y criterios de la auditoría.
2. Los mecanismos de seguimiento y evalución no se  apropien e implementen en el proceso como tercera línea de parte de los auditores internos.
</t>
  </si>
  <si>
    <t>Pérdida de imagen o reputacional de la Oficina de Control Interno</t>
  </si>
  <si>
    <t>El colaborador de nivel asesor de la oficina de control interno, de acuerdo con las fechas establecidas en el Programa Anual de Auditoría, verifica que la planificación del ejercicio y la evaluación obtenida haya contemplado todos los aspectos y disposiciones definidas en el CI-MA-01 MANUAL DE AUDITORIA INTERNA DE GESTIÓN BASADA EN RIESGOS.   Si se presentan observaciones, el colaborador del nivel asesor y el Jefe de la Oficina de Control Interno las comunica al auditor líder por correo electrónico, o en reunión virtual o presencial, para que se realicen los ajustes correspondientes. Finalmente informa al Jefe de la Oficina de Control Interno para que realice la revisión final y apruebe  consignando su firma en los formatos establecidos.  La evidencia de la ejecución del control se registra con la remisión por correo electrónico de la revisión y propuestas de ajuste al entendimiento de la unidad auditables (CI-FO-08), el Plan de Auditoría (CI-FO-02) y el Informe de Auditoría (CI-FO-05).</t>
  </si>
  <si>
    <t>Atualizar autodiagnóstico del aseguramiento de la calidad de la auditoria interna.</t>
  </si>
  <si>
    <t>El colaborador de nivel asesor de la Oficina de Control Interno, cada vez que el auditor elabore un Informe de Ley o de seguimiento, revisa el contenido del informe para asegurar que los resultados, las recomendaciones y las conclusiones presentados, sean consistentes con los criterios y la metodología definida. En caso de encontrar información faltante, inconsistencias o que el resultado del informe no cumpla con los criterios y los objetivos se informa por correo electrónico al auditor líder para su respectivo ajuste. Finalmente informa al Jefe de la Oficina de Control Interno para que realice la revisión final y apruebe el informe consignando su firma en el formato establecido INFORME Y O REPORTE DE LEY Y SEGUIMIENTO (CI-FO-10).</t>
  </si>
  <si>
    <t xml:space="preserve">Socializar los lineamientos y herramientas, definidas por OCI al interior del equipo de auditores, a su evaluar el nivel de conocimientos de los mismos.
</t>
  </si>
  <si>
    <t>Activar el correctivo necesario para subsanar la situación evidenciada y que no cumple con los lineamientos definidos en el proceso de Control y Evaluación Independiente.</t>
  </si>
  <si>
    <t>CI-RSI-3</t>
  </si>
  <si>
    <t>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</si>
  <si>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 xml:space="preserve">Acceso a consulta, divulgación, manipulación o eliminación de información  valorados con criticidad alta y/o clasificada, reservada o en contrucción bajo responsabilidad de la OCI. </t>
  </si>
  <si>
    <t>Falta de actualización y verificación de los usuarios y perfiles que tienen acceso a los servicios de TI de la OCI</t>
  </si>
  <si>
    <t>Afectación reputacional interna, ante la ciudadanía y los entes de control debido pérdida de acceso y disponibilidad de la información que se encuentra en custodia del proceso de evaluación independiente afectando la generación de los informes de Ley y de seguimiento.
Afectación reputacional y económica por los daños a terceros que puedan existir debido a afectaciones de confidencialidad de la información a la que tienen acceso la oficina de control interno durante sus evaluaciones independientes.</t>
  </si>
  <si>
    <r>
      <t>El profesional de OCI- Ingeniero de Sistemas, 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control Interno" y cotejarlo con los colaboradores activos de la OCI (</t>
    </r>
    <r>
      <rPr>
        <i/>
        <sz val="11"/>
        <color rgb="FF000000"/>
        <rFont val="Arial"/>
        <family val="2"/>
      </rPr>
      <t>Listado de funcionarios de planta y contratistas y/0 confirmación del Jefe de Control interno</t>
    </r>
    <r>
      <rPr>
        <sz val="11"/>
        <color rgb="FF000000"/>
        <rFont val="Arial"/>
        <family val="2"/>
      </rPr>
      <t xml:space="preserve">). En caso de que al cotejar los datos se identifiquen usuarios que tienen acceso a la carpeta compartida de Red Z y no sean de la Oficina de control Interno, se verificará con el JOCI </t>
    </r>
    <r>
      <rPr>
        <i/>
        <sz val="11"/>
        <color rgb="FF000000"/>
        <rFont val="Arial"/>
        <family val="2"/>
      </rPr>
      <t>(Jefe de la Oficina de Control Interno</t>
    </r>
    <r>
      <rPr>
        <sz val="11"/>
        <color rgb="FF000000"/>
        <rFont val="Arial"/>
        <family val="2"/>
      </rPr>
      <t>) y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  (9.2.5)</t>
    </r>
  </si>
  <si>
    <t>Realizar ejercicio de fortalecimiento sobre la importancia del mantener actualizado, el repositorio de información de la OCI (Carpeta Z).</t>
  </si>
  <si>
    <t>El administrador del módulo de auditoria de Strategos, trimestralmente debe identificar si hay colaboradores (contratistas, funcionarios) no autorizados con acceso al módulo de auditoria de Strategos o con perfiles que no estén acorde al cargo a sus funciones, para ello se debe solicitar a la OTI (Oficina de Tecnología de la Información) o a la OAP (Oficina asesora de planeación) la lista de usuarios (y perfiles ej. administrador, auditor, consulta) que tienen acceso al módulo de auditoria de Strategos y cotejarlo con los colaboradores activos de la OCI y los autorizados de otras áreas (listado de personal de planta y contratistas y/o confirmación del JOCI). En caso de que al cotejar los datos se identifiquen usuarios que tienen acceso al módulo de auditoría y no sean de la OCI (Oficina de Control Interno) , no sean autorizados de otras áreas, o tengan perfiles que no estén acorde a su cargo o funciones, se verificará con el Jefe de Control Interno y la Oficina de Tecnología y la Información para conocer si tienen alguna autorización o excepción. Los que no tengan autorización o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(9.2.5)</t>
  </si>
  <si>
    <t xml:space="preserve">Cada vez que se presente una materialización,  sobre la  afectación en la disponibilidad de los servicios de TI de la OCI definidos en el inventario de activos de información  notificarlo directamente al Oficial de Seguridad de la Información debido a su criticidad o reportar al  correo  </t>
  </si>
  <si>
    <t>El Web master de la Oficina de Control Interno, trimestralmente debe Identificar si hay colaboradores (contratistas. Funcionarios) no autorizados con acceso de Web Master a los subsitios de la OCI en Intranet y Página Web, para ello se debe solicitar a la Oficina de Tecnología de la Información la lista de usuarios  que tienen permiso de Web Master en Intranet y Página Web de la Oficina de Control Interno  y cotejarlo con los colaboradores autorizados por el Jefe de la Oficina de Control interno. En caso de que al cotejar los datos se identifiquen usuarios que tienen perfil de Web Master en los subsitios de la OCI en intranet y página Web y no estén autorizados, se verificará con el JOCI y la OTI para conocer si tienen alguna autorización o excepción. Los que no tengan autorización o excepción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(9.2.5 )</t>
  </si>
  <si>
    <t>El Profesional OCI- Ingeniero de Sistemas, trimestralmente debe Identificar si hay colaboradores (contratistas, funcionarios) de la Oficina de Control Interno no autorizados con acceso a USB/CD/DVD o con perfiles que no estén autorizados por el Jefe de Control Interno, para ello se debe solicitar a la Oficina de Tecnología de la Información  la lista de usuarios  que tienen permiso de lectura, escritura, ejecución y control total sobre los periféricos USB/DVD/CD  y cotejarlo con los colaboradores autorizados por el Jefe de la oficina de Control Interno. En caso de que al cotejar los datos se identifiquen usuarios que tienen acceso y  no estén autorizados o no hagan parte de alguna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(8.3.1)</t>
  </si>
  <si>
    <t>El Profesional OCI- Ingeniero de Sistemas, trimestralmente debe identificar si hay colaboradores (contratistas, funcionarios) de la Oficina de Control Interno no autorizados con acceso a enviar información clasificada reservada en las excepciones del DLP para ello se debe solicitar a la Oficina de Tecnología de la Información la lista de usuarios que tienen permiso envío de información clasificada reservada por medio del DLP y cotejarlo con los colaboradores autorizados por el Jefe de la Oficina de Control Interno. En caso de que al cotejar los datos se identifiquen usuarios no autorizados o acceso no requeridos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(9.2.3)</t>
  </si>
  <si>
    <t>CALIFICACIÓN RIESGO INHERENTE</t>
  </si>
  <si>
    <t>No. DEL RIESGO</t>
  </si>
  <si>
    <t>RIESGO</t>
  </si>
  <si>
    <t>SEVERIDAD (NIVEL DE RIESGO)</t>
  </si>
  <si>
    <t>N/A</t>
  </si>
  <si>
    <t>Impacto_Corrupción</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</si>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</sst>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11"/>
      <color theme="1"/>
      <name val="Calibri"/>
      <family val="2"/>
      <scheme val="minor"/>
    </font>
    <font>
      <sz val="11"/>
      <color theme="1"/>
      <name val="Arial"/>
      <family val="2"/>
    </font>
    <font>
      <sz val="10"/>
      <color theme="1"/>
      <name val="Arial"/>
      <family val="2"/>
    </font>
    <font>
      <sz val="8"/>
      <color theme="1"/>
      <name val="Arial"/>
      <family val="2"/>
    </font>
    <font>
      <b/>
      <sz val="11"/>
      <color rgb="FF000000"/>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sz val="11"/>
      <name val="Arial"/>
      <family val="2"/>
    </font>
    <font>
      <b/>
      <sz val="10"/>
      <color theme="1"/>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sz val="11"/>
      <color rgb="FF000000"/>
      <name val="Arial"/>
      <family val="2"/>
    </font>
    <font>
      <sz val="11"/>
      <color rgb="FFFF0000"/>
      <name val="Arial"/>
      <family val="2"/>
    </font>
    <font>
      <sz val="11"/>
      <color rgb="FF4472C4"/>
      <name val="Arial"/>
      <family val="2"/>
    </font>
    <font>
      <i/>
      <sz val="11"/>
      <color rgb="FF000000"/>
      <name val="Arial"/>
      <family val="2"/>
    </font>
    <font>
      <b/>
      <sz val="11"/>
      <color theme="1"/>
      <name val="Arial"/>
      <family val="2"/>
    </font>
    <font>
      <b/>
      <sz val="11"/>
      <name val="Arial"/>
      <family val="2"/>
    </font>
    <font>
      <u val="double"/>
      <sz val="11"/>
      <color rgb="FF000000"/>
      <name val="Arial"/>
      <family val="2"/>
    </font>
    <font>
      <i/>
      <sz val="11"/>
      <color theme="1"/>
      <name val="Arial"/>
      <family val="2"/>
    </font>
    <font>
      <strike/>
      <u val="double"/>
      <sz val="11"/>
      <color theme="1"/>
      <name val="Arial"/>
      <family val="2"/>
    </font>
    <font>
      <b/>
      <sz val="8"/>
      <color theme="1"/>
      <name val="Arial"/>
      <family val="2"/>
    </font>
    <font>
      <sz val="8"/>
      <color theme="1"/>
      <name val="Segoe UI Symbol"/>
      <family val="2"/>
    </font>
    <font>
      <sz val="8"/>
      <color theme="1"/>
      <name val="MS Gothic"/>
      <family val="3"/>
    </font>
    <font>
      <sz val="12"/>
      <color rgb="FF000000"/>
      <name val="Arial"/>
      <family val="2"/>
    </font>
    <font>
      <sz val="12"/>
      <name val="Arial"/>
      <family val="2"/>
    </font>
    <font>
      <b/>
      <sz val="12"/>
      <color rgb="FF000000"/>
      <name val="Arial"/>
      <family val="2"/>
    </font>
  </fonts>
  <fills count="17">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s>
  <borders count="302">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medium">
        <color theme="5"/>
      </top>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right/>
      <top style="dashed">
        <color theme="5"/>
      </top>
      <bottom style="dashed">
        <color theme="5"/>
      </bottom>
      <diagonal/>
    </border>
    <border>
      <left/>
      <right/>
      <top/>
      <bottom style="dashed">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otted">
        <color theme="5"/>
      </left>
      <right style="dotted">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top style="thick">
        <color theme="5"/>
      </top>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style="dotted">
        <color theme="5"/>
      </left>
      <right style="hair">
        <color rgb="FFFF0000"/>
      </right>
      <top style="thick">
        <color theme="5"/>
      </top>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style="dashed">
        <color theme="5"/>
      </left>
      <right style="dashed">
        <color rgb="FFE26B0A"/>
      </right>
      <top style="thick">
        <color theme="5"/>
      </top>
      <bottom style="dashed">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right style="thick">
        <color theme="5"/>
      </right>
      <top style="thick">
        <color theme="5"/>
      </top>
      <bottom/>
      <diagonal/>
    </border>
    <border>
      <left/>
      <right style="thick">
        <color theme="5"/>
      </right>
      <top/>
      <bottom style="medium">
        <color theme="5"/>
      </bottom>
      <diagonal/>
    </border>
    <border>
      <left style="thick">
        <color theme="5"/>
      </left>
      <right style="thin">
        <color theme="5"/>
      </right>
      <top style="medium">
        <color theme="5"/>
      </top>
      <bottom/>
      <diagonal/>
    </border>
    <border>
      <left style="thick">
        <color theme="5"/>
      </left>
      <right style="thin">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style="thick">
        <color theme="5"/>
      </top>
      <bottom style="dotted">
        <color theme="5"/>
      </bottom>
      <diagonal/>
    </border>
    <border>
      <left style="thick">
        <color theme="5"/>
      </left>
      <right style="thick">
        <color theme="5"/>
      </right>
      <top style="dotted">
        <color theme="5"/>
      </top>
      <bottom style="dotted">
        <color theme="5"/>
      </bottom>
      <diagonal/>
    </border>
    <border>
      <left style="thick">
        <color theme="5"/>
      </left>
      <right style="thick">
        <color theme="5"/>
      </right>
      <top style="dotted">
        <color theme="5"/>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thick">
        <color theme="5"/>
      </left>
      <right style="thick">
        <color theme="5"/>
      </right>
      <top/>
      <bottom style="thick">
        <color theme="5"/>
      </bottom>
      <diagonal/>
    </border>
    <border>
      <left/>
      <right/>
      <top style="thick">
        <color theme="5"/>
      </top>
      <bottom style="dashed">
        <color theme="5"/>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theme="5"/>
      </bottom>
      <diagonal/>
    </border>
    <border>
      <left style="dashed">
        <color rgb="FFE26B0A"/>
      </left>
      <right/>
      <top style="thick">
        <color theme="5"/>
      </top>
      <bottom style="dashed">
        <color rgb="FFE26B0A"/>
      </bottom>
      <diagonal/>
    </border>
    <border>
      <left/>
      <right style="thick">
        <color theme="5"/>
      </right>
      <top style="thick">
        <color theme="5"/>
      </top>
      <bottom style="thick">
        <color theme="5"/>
      </bottom>
      <diagonal/>
    </border>
    <border>
      <left/>
      <right style="dashed">
        <color rgb="FFE26B0A"/>
      </right>
      <top style="dashed">
        <color theme="5"/>
      </top>
      <bottom style="dashed">
        <color theme="5"/>
      </bottom>
      <diagonal/>
    </border>
    <border>
      <left/>
      <right style="dotted">
        <color rgb="FFED7D31"/>
      </right>
      <top style="medium">
        <color rgb="FFED7D31"/>
      </top>
      <bottom/>
      <diagonal/>
    </border>
    <border>
      <left style="dotted">
        <color rgb="FFED7D31"/>
      </left>
      <right style="dotted">
        <color rgb="FFED7D31"/>
      </right>
      <top style="medium">
        <color rgb="FFED7D31"/>
      </top>
      <bottom/>
      <diagonal/>
    </border>
    <border>
      <left style="dotted">
        <color rgb="FFED7D31"/>
      </left>
      <right style="dashed">
        <color rgb="FFE26B0A"/>
      </right>
      <top style="medium">
        <color rgb="FFED7D31"/>
      </top>
      <bottom/>
      <diagonal/>
    </border>
    <border>
      <left style="dashed">
        <color rgb="FFE26B0A"/>
      </left>
      <right/>
      <top style="thick">
        <color rgb="FFE26B0A"/>
      </top>
      <bottom style="dashed">
        <color rgb="FFE26B0A"/>
      </bottom>
      <diagonal/>
    </border>
    <border>
      <left style="dotted">
        <color theme="5"/>
      </left>
      <right style="dashed">
        <color rgb="FFE26B0A"/>
      </right>
      <top style="thick">
        <color theme="5"/>
      </top>
      <bottom/>
      <diagonal/>
    </border>
    <border>
      <left/>
      <right style="dotted">
        <color rgb="FFED7D31"/>
      </right>
      <top/>
      <bottom/>
      <diagonal/>
    </border>
    <border>
      <left style="dotted">
        <color rgb="FFED7D31"/>
      </left>
      <right style="dotted">
        <color rgb="FFED7D31"/>
      </right>
      <top/>
      <bottom/>
      <diagonal/>
    </border>
    <border>
      <left style="dotted">
        <color rgb="FFED7D31"/>
      </left>
      <right style="dashed">
        <color rgb="FFE26B0A"/>
      </right>
      <top/>
      <bottom/>
      <diagonal/>
    </border>
    <border>
      <left/>
      <right style="dotted">
        <color rgb="FFED7D31"/>
      </right>
      <top/>
      <bottom style="medium">
        <color theme="5"/>
      </bottom>
      <diagonal/>
    </border>
    <border>
      <left style="dotted">
        <color rgb="FFED7D31"/>
      </left>
      <right style="dotted">
        <color rgb="FFED7D31"/>
      </right>
      <top/>
      <bottom style="medium">
        <color theme="5"/>
      </bottom>
      <diagonal/>
    </border>
    <border>
      <left style="dotted">
        <color rgb="FFED7D31"/>
      </left>
      <right style="dashed">
        <color rgb="FFE26B0A"/>
      </right>
      <top/>
      <bottom style="medium">
        <color theme="5"/>
      </bottom>
      <diagonal/>
    </border>
    <border>
      <left/>
      <right style="dotted">
        <color theme="5"/>
      </right>
      <top style="medium">
        <color theme="5"/>
      </top>
      <bottom/>
      <diagonal/>
    </border>
    <border>
      <left style="dotted">
        <color theme="5"/>
      </left>
      <right style="dotted">
        <color theme="5"/>
      </right>
      <top style="medium">
        <color theme="5"/>
      </top>
      <bottom/>
      <diagonal/>
    </border>
    <border>
      <left style="dotted">
        <color theme="5"/>
      </left>
      <right style="dashed">
        <color rgb="FFE26B0A"/>
      </right>
      <top style="medium">
        <color theme="5"/>
      </top>
      <bottom/>
      <diagonal/>
    </border>
    <border>
      <left/>
      <right style="dotted">
        <color theme="5"/>
      </right>
      <top/>
      <bottom style="medium">
        <color theme="5"/>
      </bottom>
      <diagonal/>
    </border>
    <border>
      <left style="dotted">
        <color theme="5"/>
      </left>
      <right style="dotted">
        <color theme="5"/>
      </right>
      <top/>
      <bottom style="medium">
        <color theme="5"/>
      </bottom>
      <diagonal/>
    </border>
    <border>
      <left style="dotted">
        <color theme="5"/>
      </left>
      <right/>
      <top style="thick">
        <color theme="5"/>
      </top>
      <bottom style="dashed">
        <color rgb="FFFF0000"/>
      </bottom>
      <diagonal/>
    </border>
    <border>
      <left style="dotted">
        <color theme="5"/>
      </left>
      <right/>
      <top style="dashed">
        <color rgb="FFFF0000"/>
      </top>
      <bottom style="dashed">
        <color rgb="FFFF0000"/>
      </bottom>
      <diagonal/>
    </border>
    <border>
      <left style="dashed">
        <color rgb="FFE26B0A"/>
      </left>
      <right/>
      <top/>
      <bottom style="dashed">
        <color rgb="FFE26B0A"/>
      </bottom>
      <diagonal/>
    </border>
    <border>
      <left/>
      <right style="dotted">
        <color theme="5"/>
      </right>
      <top/>
      <bottom style="medium">
        <color rgb="FFED7D31"/>
      </bottom>
      <diagonal/>
    </border>
    <border>
      <left style="dotted">
        <color theme="5"/>
      </left>
      <right style="dotted">
        <color theme="5"/>
      </right>
      <top/>
      <bottom style="medium">
        <color rgb="FFED7D31"/>
      </bottom>
      <diagonal/>
    </border>
    <border>
      <left style="dotted">
        <color theme="5"/>
      </left>
      <right style="dashed">
        <color rgb="FFE26B0A"/>
      </right>
      <top/>
      <bottom style="medium">
        <color rgb="FFED7D31"/>
      </bottom>
      <diagonal/>
    </border>
    <border>
      <left/>
      <right style="dotted">
        <color rgb="FFED7D31"/>
      </right>
      <top style="thick">
        <color theme="5"/>
      </top>
      <bottom/>
      <diagonal/>
    </border>
    <border>
      <left style="dotted">
        <color rgb="FFED7D31"/>
      </left>
      <right style="dotted">
        <color rgb="FFED7D31"/>
      </right>
      <top style="thick">
        <color theme="5"/>
      </top>
      <bottom/>
      <diagonal/>
    </border>
    <border>
      <left style="dotted">
        <color rgb="FFED7D31"/>
      </left>
      <right style="dashed">
        <color rgb="FFE26B0A"/>
      </right>
      <top style="thick">
        <color theme="5"/>
      </top>
      <bottom/>
      <diagonal/>
    </border>
    <border>
      <left/>
      <right style="dotted">
        <color rgb="FFED7D31"/>
      </right>
      <top/>
      <bottom style="thick">
        <color theme="5"/>
      </bottom>
      <diagonal/>
    </border>
    <border>
      <left style="dotted">
        <color rgb="FFED7D31"/>
      </left>
      <right style="dotted">
        <color rgb="FFED7D31"/>
      </right>
      <top/>
      <bottom style="thick">
        <color theme="5"/>
      </bottom>
      <diagonal/>
    </border>
    <border>
      <left style="dotted">
        <color rgb="FFED7D31"/>
      </left>
      <right style="dashed">
        <color rgb="FFE26B0A"/>
      </right>
      <top/>
      <bottom style="thick">
        <color theme="5"/>
      </bottom>
      <diagonal/>
    </border>
    <border>
      <left style="dotted">
        <color theme="5"/>
      </left>
      <right style="dashed">
        <color rgb="FFE26B0A"/>
      </right>
      <top/>
      <bottom style="thick">
        <color theme="5"/>
      </bottom>
      <diagonal/>
    </border>
    <border>
      <left style="dashed">
        <color rgb="FFE26B0A"/>
      </left>
      <right style="dotted">
        <color rgb="FFE26B0A"/>
      </right>
      <top style="thick">
        <color theme="5"/>
      </top>
      <bottom style="dotted">
        <color rgb="FFE26B0A"/>
      </bottom>
      <diagonal/>
    </border>
    <border>
      <left/>
      <right/>
      <top style="dashed">
        <color rgb="FFE26B0A"/>
      </top>
      <bottom/>
      <diagonal/>
    </border>
    <border>
      <left style="dashed">
        <color rgb="FFE26B0A"/>
      </left>
      <right style="dotted">
        <color rgb="FFE26B0A"/>
      </right>
      <top style="dotted">
        <color rgb="FFE26B0A"/>
      </top>
      <bottom style="dotted">
        <color rgb="FFE26B0A"/>
      </bottom>
      <diagonal/>
    </border>
    <border>
      <left style="dotted">
        <color rgb="FFE26B0A"/>
      </left>
      <right style="dotted">
        <color rgb="FFE26B0A"/>
      </right>
      <top style="dotted">
        <color rgb="FFE26B0A"/>
      </top>
      <bottom style="dotted">
        <color rgb="FFE26B0A"/>
      </bottom>
      <diagonal/>
    </border>
    <border>
      <left style="dotted">
        <color theme="5"/>
      </left>
      <right style="dotted">
        <color theme="5"/>
      </right>
      <top/>
      <bottom style="dotted">
        <color theme="5"/>
      </bottom>
      <diagonal/>
    </border>
    <border>
      <left style="dotted">
        <color theme="5"/>
      </left>
      <right style="dotted">
        <color theme="5"/>
      </right>
      <top style="dashed">
        <color rgb="FFFF0000"/>
      </top>
      <bottom style="dotted">
        <color theme="5"/>
      </bottom>
      <diagonal/>
    </border>
    <border>
      <left style="dotted">
        <color theme="5"/>
      </left>
      <right style="dotted">
        <color theme="5"/>
      </right>
      <top style="dotted">
        <color theme="5"/>
      </top>
      <bottom style="dashed">
        <color rgb="FFFF0000"/>
      </bottom>
      <diagonal/>
    </border>
    <border>
      <left style="dotted">
        <color theme="5"/>
      </left>
      <right style="dotted">
        <color theme="5"/>
      </right>
      <top style="dotted">
        <color theme="5"/>
      </top>
      <bottom/>
      <diagonal/>
    </border>
    <border>
      <left/>
      <right style="dotted">
        <color theme="5"/>
      </right>
      <top style="dotted">
        <color theme="5"/>
      </top>
      <bottom/>
      <diagonal/>
    </border>
    <border>
      <left style="thin">
        <color theme="5"/>
      </left>
      <right style="dotted">
        <color theme="5"/>
      </right>
      <top style="thick">
        <color theme="5"/>
      </top>
      <bottom style="dotted">
        <color theme="5"/>
      </bottom>
      <diagonal/>
    </border>
    <border>
      <left style="dotted">
        <color theme="5"/>
      </left>
      <right/>
      <top style="dashed">
        <color rgb="FFE26B0A"/>
      </top>
      <bottom style="dotted">
        <color theme="5"/>
      </bottom>
      <diagonal/>
    </border>
    <border>
      <left style="dashed">
        <color rgb="FFE26B0A"/>
      </left>
      <right style="dashed">
        <color rgb="FFE26B0A"/>
      </right>
      <top style="dashed">
        <color theme="5"/>
      </top>
      <bottom style="dotted">
        <color theme="5"/>
      </bottom>
      <diagonal/>
    </border>
    <border>
      <left style="dashed">
        <color rgb="FFE26B0A"/>
      </left>
      <right/>
      <top style="dashed">
        <color theme="5"/>
      </top>
      <bottom style="dotted">
        <color theme="5"/>
      </bottom>
      <diagonal/>
    </border>
    <border>
      <left style="dashed">
        <color theme="5"/>
      </left>
      <right style="thin">
        <color theme="5"/>
      </right>
      <top style="dashed">
        <color theme="5"/>
      </top>
      <bottom style="dotted">
        <color theme="5"/>
      </bottom>
      <diagonal/>
    </border>
    <border>
      <left style="thin">
        <color theme="5"/>
      </left>
      <right style="thin">
        <color theme="5"/>
      </right>
      <top style="thin">
        <color theme="5"/>
      </top>
      <bottom style="dotted">
        <color theme="5"/>
      </bottom>
      <diagonal/>
    </border>
    <border>
      <left style="thin">
        <color theme="5"/>
      </left>
      <right style="dotted">
        <color theme="5"/>
      </right>
      <top style="dotted">
        <color theme="5"/>
      </top>
      <bottom style="dotted">
        <color theme="5"/>
      </bottom>
      <diagonal/>
    </border>
    <border>
      <left style="thin">
        <color theme="5"/>
      </left>
      <right style="dotted">
        <color theme="5"/>
      </right>
      <top style="dotted">
        <color theme="5"/>
      </top>
      <bottom style="thick">
        <color theme="5"/>
      </bottom>
      <diagonal/>
    </border>
    <border>
      <left style="dashed">
        <color rgb="FFE26B0A"/>
      </left>
      <right style="dotted">
        <color rgb="FFE26B0A"/>
      </right>
      <top style="dashed">
        <color rgb="FFE26B0A"/>
      </top>
      <bottom style="dotted">
        <color rgb="FFE26B0A"/>
      </bottom>
      <diagonal/>
    </border>
    <border>
      <left style="dashed">
        <color rgb="FFE26B0A"/>
      </left>
      <right style="dashed">
        <color rgb="FFE26B0A"/>
      </right>
      <top style="dotted">
        <color rgb="FFE26B0A"/>
      </top>
      <bottom style="dashed">
        <color rgb="FFE26B0A"/>
      </bottom>
      <diagonal/>
    </border>
    <border>
      <left style="dashed">
        <color rgb="FFE26B0A"/>
      </left>
      <right style="dotted">
        <color theme="5"/>
      </right>
      <top style="thick">
        <color theme="5"/>
      </top>
      <bottom/>
      <diagonal/>
    </border>
    <border>
      <left style="dashed">
        <color rgb="FFE26B0A"/>
      </left>
      <right style="hair">
        <color rgb="FFE26B0A"/>
      </right>
      <top style="thick">
        <color theme="5"/>
      </top>
      <bottom style="hair">
        <color rgb="FFE26B0A"/>
      </bottom>
      <diagonal/>
    </border>
    <border>
      <left/>
      <right style="dashed">
        <color rgb="FFE26B0A"/>
      </right>
      <top style="thick">
        <color theme="5"/>
      </top>
      <bottom style="dashed">
        <color theme="5"/>
      </bottom>
      <diagonal/>
    </border>
    <border>
      <left style="dashed">
        <color rgb="FFE26B0A"/>
      </left>
      <right style="dotted">
        <color theme="5"/>
      </right>
      <top/>
      <bottom/>
      <diagonal/>
    </border>
    <border>
      <left style="dashed">
        <color rgb="FFE26B0A"/>
      </left>
      <right style="hair">
        <color rgb="FFE26B0A"/>
      </right>
      <top style="hair">
        <color rgb="FFE26B0A"/>
      </top>
      <bottom style="hair">
        <color rgb="FFE26B0A"/>
      </bottom>
      <diagonal/>
    </border>
    <border>
      <left/>
      <right style="dashed">
        <color rgb="FFE26B0A"/>
      </right>
      <top/>
      <bottom style="dashed">
        <color theme="5"/>
      </bottom>
      <diagonal/>
    </border>
    <border>
      <left style="dashed">
        <color rgb="FFE26B0A"/>
      </left>
      <right style="dotted">
        <color theme="5"/>
      </right>
      <top/>
      <bottom style="thick">
        <color theme="5"/>
      </bottom>
      <diagonal/>
    </border>
    <border>
      <left style="dashed">
        <color rgb="FFE26B0A"/>
      </left>
      <right style="dotted">
        <color rgb="FFE26B0A"/>
      </right>
      <top style="dotted">
        <color rgb="FFE26B0A"/>
      </top>
      <bottom style="dashed">
        <color rgb="FFE26B0A"/>
      </bottom>
      <diagonal/>
    </border>
    <border>
      <left style="dotted">
        <color theme="5"/>
      </left>
      <right/>
      <top style="thick">
        <color theme="5"/>
      </top>
      <bottom/>
      <diagonal/>
    </border>
    <border>
      <left style="dotted">
        <color theme="5"/>
      </left>
      <right/>
      <top style="dotted">
        <color rgb="FFFF0000"/>
      </top>
      <bottom style="dotted">
        <color rgb="FFFF0000"/>
      </bottom>
      <diagonal/>
    </border>
    <border>
      <left style="thick">
        <color theme="5"/>
      </left>
      <right style="thick">
        <color theme="5"/>
      </right>
      <top style="dotted">
        <color theme="5"/>
      </top>
      <bottom/>
      <diagonal/>
    </border>
    <border>
      <left style="dotted">
        <color theme="5"/>
      </left>
      <right/>
      <top style="dotted">
        <color theme="5"/>
      </top>
      <bottom/>
      <diagonal/>
    </border>
    <border>
      <left style="dotted">
        <color theme="5"/>
      </left>
      <right/>
      <top style="dashed">
        <color rgb="FFFF0000"/>
      </top>
      <bottom/>
      <diagonal/>
    </border>
    <border>
      <left style="thick">
        <color theme="5"/>
      </left>
      <right style="dotted">
        <color theme="5"/>
      </right>
      <top style="thick">
        <color theme="5"/>
      </top>
      <bottom/>
      <diagonal/>
    </border>
    <border>
      <left style="thick">
        <color theme="5"/>
      </left>
      <right style="dotted">
        <color theme="5"/>
      </right>
      <top/>
      <bottom/>
      <diagonal/>
    </border>
    <border>
      <left style="thick">
        <color theme="5"/>
      </left>
      <right style="dotted">
        <color theme="5"/>
      </right>
      <top/>
      <bottom style="thick">
        <color theme="5"/>
      </bottom>
      <diagonal/>
    </border>
    <border>
      <left style="dashed">
        <color rgb="FFE26B0A"/>
      </left>
      <right style="dashed">
        <color rgb="FFE26B0A"/>
      </right>
      <top style="thick">
        <color theme="5"/>
      </top>
      <bottom style="dotted">
        <color rgb="FFFF0000"/>
      </bottom>
      <diagonal/>
    </border>
    <border>
      <left style="thick">
        <color theme="5"/>
      </left>
      <right style="dashed">
        <color rgb="FFE26B0A"/>
      </right>
      <top style="thick">
        <color theme="5"/>
      </top>
      <bottom/>
      <diagonal/>
    </border>
    <border>
      <left/>
      <right/>
      <top style="medium">
        <color theme="5"/>
      </top>
      <bottom/>
      <diagonal/>
    </border>
    <border>
      <left style="thick">
        <color theme="5"/>
      </left>
      <right style="dashed">
        <color rgb="FFE26B0A"/>
      </right>
      <top/>
      <bottom/>
      <diagonal/>
    </border>
    <border>
      <left style="dashed">
        <color rgb="FFE26B0A"/>
      </left>
      <right style="dashed">
        <color rgb="FFE26B0A"/>
      </right>
      <top style="dotted">
        <color rgb="FFFF0000"/>
      </top>
      <bottom/>
      <diagonal/>
    </border>
    <border>
      <left style="thick">
        <color theme="5"/>
      </left>
      <right style="dashed">
        <color rgb="FFE26B0A"/>
      </right>
      <top/>
      <bottom style="thick">
        <color theme="5"/>
      </bottom>
      <diagonal/>
    </border>
    <border>
      <left/>
      <right style="thick">
        <color theme="5"/>
      </right>
      <top style="medium">
        <color theme="5"/>
      </top>
      <bottom/>
      <diagonal/>
    </border>
    <border>
      <left style="dashed">
        <color rgb="FFE26B0A"/>
      </left>
      <right style="dashed">
        <color theme="5"/>
      </right>
      <top style="thick">
        <color theme="5"/>
      </top>
      <bottom style="dashed">
        <color rgb="FFE26B0A"/>
      </bottom>
      <diagonal/>
    </border>
    <border>
      <left style="dashed">
        <color rgb="FFE26B0A"/>
      </left>
      <right style="dashed">
        <color rgb="FFE26B0A"/>
      </right>
      <top style="dashed">
        <color rgb="FFE26B0A"/>
      </top>
      <bottom style="medium">
        <color rgb="FFE26B0A"/>
      </bottom>
      <diagonal/>
    </border>
    <border>
      <left style="dotted">
        <color theme="5"/>
      </left>
      <right/>
      <top style="dashed">
        <color rgb="FFFF0000"/>
      </top>
      <bottom style="dotted">
        <color theme="5"/>
      </bottom>
      <diagonal/>
    </border>
    <border>
      <left/>
      <right style="thick">
        <color theme="5"/>
      </right>
      <top style="thick">
        <color theme="5"/>
      </top>
      <bottom style="dotted">
        <color theme="5"/>
      </bottom>
      <diagonal/>
    </border>
    <border>
      <left style="dashed">
        <color rgb="FFE26B0A"/>
      </left>
      <right style="dashed">
        <color rgb="FFE26B0A"/>
      </right>
      <top style="dotted">
        <color rgb="FFFF0000"/>
      </top>
      <bottom style="dotted">
        <color rgb="FFFF0000"/>
      </bottom>
      <diagonal/>
    </border>
    <border>
      <left style="dashed">
        <color rgb="FFE26B0A"/>
      </left>
      <right style="dashed">
        <color theme="5"/>
      </right>
      <top style="dashed">
        <color rgb="FFE26B0A"/>
      </top>
      <bottom style="medium">
        <color theme="5"/>
      </bottom>
      <diagonal/>
    </border>
    <border>
      <left style="dotted">
        <color theme="5"/>
      </left>
      <right/>
      <top style="dashed">
        <color rgb="FFFF0000"/>
      </top>
      <bottom style="thick">
        <color theme="5"/>
      </bottom>
      <diagonal/>
    </border>
    <border>
      <left style="dashed">
        <color rgb="FFE26B0A"/>
      </left>
      <right style="dashed">
        <color rgb="FFE26B0A"/>
      </right>
      <top style="thick">
        <color rgb="FFE26B0A"/>
      </top>
      <bottom style="dashed">
        <color rgb="FFE26B0A"/>
      </bottom>
      <diagonal/>
    </border>
    <border>
      <left/>
      <right style="thick">
        <color theme="5"/>
      </right>
      <top/>
      <bottom/>
      <diagonal/>
    </border>
    <border>
      <left style="thick">
        <color theme="5"/>
      </left>
      <right/>
      <top style="thick">
        <color theme="5"/>
      </top>
      <bottom/>
      <diagonal/>
    </border>
    <border>
      <left style="thick">
        <color theme="5"/>
      </left>
      <right/>
      <top/>
      <bottom style="medium">
        <color theme="5"/>
      </bottom>
      <diagonal/>
    </border>
    <border>
      <left/>
      <right style="thick">
        <color theme="5"/>
      </right>
      <top/>
      <bottom style="thick">
        <color theme="5"/>
      </bottom>
      <diagonal/>
    </border>
    <border>
      <left/>
      <right style="thick">
        <color theme="5"/>
      </right>
      <top style="dotted">
        <color theme="5"/>
      </top>
      <bottom style="dotted">
        <color theme="5"/>
      </bottom>
      <diagonal/>
    </border>
    <border>
      <left/>
      <right style="thick">
        <color theme="5"/>
      </right>
      <top style="dotted">
        <color theme="5"/>
      </top>
      <bottom style="thick">
        <color theme="5"/>
      </bottom>
      <diagonal/>
    </border>
    <border>
      <left style="thick">
        <color theme="5"/>
      </left>
      <right style="medium">
        <color theme="5"/>
      </right>
      <top style="thick">
        <color theme="5"/>
      </top>
      <bottom style="thick">
        <color theme="5"/>
      </bottom>
      <diagonal/>
    </border>
    <border>
      <left style="medium">
        <color theme="5"/>
      </left>
      <right style="thick">
        <color theme="5"/>
      </right>
      <top style="thick">
        <color theme="5"/>
      </top>
      <bottom style="thick">
        <color theme="5"/>
      </bottom>
      <diagonal/>
    </border>
    <border>
      <left style="dashed">
        <color rgb="FFE26B0A"/>
      </left>
      <right style="dashed">
        <color rgb="FFE26B0A"/>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style="dotted">
        <color theme="5"/>
      </bottom>
      <diagonal/>
    </border>
    <border>
      <left style="dotted">
        <color theme="5"/>
      </left>
      <right style="dotted">
        <color theme="5"/>
      </right>
      <top style="thick">
        <color rgb="FFE26B0A"/>
      </top>
      <bottom/>
      <diagonal/>
    </border>
    <border>
      <left style="dotted">
        <color theme="5"/>
      </left>
      <right style="dotted">
        <color theme="5"/>
      </right>
      <top style="thick">
        <color rgb="FFE26B0A"/>
      </top>
      <bottom style="dashed">
        <color rgb="FFFF0000"/>
      </bottom>
      <diagonal/>
    </border>
    <border>
      <left style="medium">
        <color theme="5"/>
      </left>
      <right style="thick">
        <color theme="5"/>
      </right>
      <top style="thick">
        <color theme="5"/>
      </top>
      <bottom/>
      <diagonal/>
    </border>
    <border>
      <left style="medium">
        <color theme="5"/>
      </left>
      <right style="thick">
        <color theme="5"/>
      </right>
      <top/>
      <bottom style="medium">
        <color theme="5"/>
      </bottom>
      <diagonal/>
    </border>
    <border>
      <left style="medium">
        <color theme="5"/>
      </left>
      <right style="thick">
        <color theme="5"/>
      </right>
      <top style="medium">
        <color theme="5"/>
      </top>
      <bottom/>
      <diagonal/>
    </border>
    <border>
      <left style="medium">
        <color theme="5"/>
      </left>
      <right style="thick">
        <color theme="5"/>
      </right>
      <top/>
      <bottom/>
      <diagonal/>
    </border>
    <border>
      <left style="dotted">
        <color theme="5"/>
      </left>
      <right style="thick">
        <color theme="5"/>
      </right>
      <top style="thick">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thick">
        <color theme="5"/>
      </right>
      <top style="dotted">
        <color theme="5"/>
      </top>
      <bottom style="thick">
        <color theme="5"/>
      </bottom>
      <diagonal/>
    </border>
    <border>
      <left style="dotted">
        <color theme="5"/>
      </left>
      <right style="thick">
        <color theme="5"/>
      </right>
      <top style="dotted">
        <color theme="5"/>
      </top>
      <bottom style="dashed">
        <color rgb="FFE26B0A"/>
      </bottom>
      <diagonal/>
    </border>
    <border>
      <left/>
      <right style="thick">
        <color theme="5"/>
      </right>
      <top style="dashed">
        <color rgb="FFE26B0A"/>
      </top>
      <bottom style="dashed">
        <color rgb="FFE26B0A"/>
      </bottom>
      <diagonal/>
    </border>
    <border>
      <left/>
      <right style="thick">
        <color theme="5"/>
      </right>
      <top style="dashed">
        <color rgb="FFE26B0A"/>
      </top>
      <bottom style="thick">
        <color theme="5"/>
      </bottom>
      <diagonal/>
    </border>
    <border>
      <left/>
      <right style="thick">
        <color theme="5"/>
      </right>
      <top style="medium">
        <color theme="5"/>
      </top>
      <bottom style="dashed">
        <color theme="5"/>
      </bottom>
      <diagonal/>
    </border>
    <border>
      <left/>
      <right style="thick">
        <color theme="5"/>
      </right>
      <top style="dashed">
        <color theme="5"/>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thick">
        <color theme="5"/>
      </right>
      <top style="dashed">
        <color rgb="FFE26B0A"/>
      </top>
      <bottom style="thick">
        <color theme="5"/>
      </bottom>
      <diagonal/>
    </border>
    <border>
      <left style="dotted">
        <color theme="5"/>
      </left>
      <right style="thick">
        <color theme="5"/>
      </right>
      <top style="thick">
        <color theme="5"/>
      </top>
      <bottom style="dashed">
        <color rgb="FFE26B0A"/>
      </bottom>
      <diagonal/>
    </border>
    <border>
      <left style="dotted">
        <color theme="5"/>
      </left>
      <right style="thick">
        <color theme="5"/>
      </right>
      <top style="dashed">
        <color rgb="FFE26B0A"/>
      </top>
      <bottom/>
      <diagonal/>
    </border>
    <border>
      <left style="dotted">
        <color theme="5"/>
      </left>
      <right style="thick">
        <color theme="5"/>
      </right>
      <top/>
      <bottom style="dashed">
        <color rgb="FFE26B0A"/>
      </bottom>
      <diagonal/>
    </border>
    <border>
      <left/>
      <right style="thick">
        <color theme="5"/>
      </right>
      <top style="thick">
        <color theme="5"/>
      </top>
      <bottom style="dashed">
        <color rgb="FFE26B0A"/>
      </bottom>
      <diagonal/>
    </border>
    <border>
      <left style="dashed">
        <color rgb="FFE26B0A"/>
      </left>
      <right style="thick">
        <color theme="5"/>
      </right>
      <top style="thick">
        <color theme="5"/>
      </top>
      <bottom style="dashed">
        <color rgb="FFE26B0A"/>
      </bottom>
      <diagonal/>
    </border>
    <border>
      <left style="dashed">
        <color theme="5"/>
      </left>
      <right style="thick">
        <color theme="5"/>
      </right>
      <top style="thick">
        <color theme="5"/>
      </top>
      <bottom style="dashed">
        <color theme="5"/>
      </bottom>
      <diagonal/>
    </border>
    <border>
      <left style="dashed">
        <color theme="5"/>
      </left>
      <right style="thick">
        <color theme="5"/>
      </right>
      <top style="dashed">
        <color theme="5"/>
      </top>
      <bottom style="dashed">
        <color theme="5"/>
      </bottom>
      <diagonal/>
    </border>
    <border>
      <left style="dotted">
        <color theme="5"/>
      </left>
      <right style="thick">
        <color theme="5"/>
      </right>
      <top style="dashed">
        <color rgb="FFE26B0A"/>
      </top>
      <bottom style="dotted">
        <color theme="5"/>
      </bottom>
      <diagonal/>
    </border>
    <border>
      <left style="dotted">
        <color theme="5"/>
      </left>
      <right style="thick">
        <color theme="5"/>
      </right>
      <top/>
      <bottom style="dotted">
        <color theme="5"/>
      </bottom>
      <diagonal/>
    </border>
    <border>
      <left style="hair">
        <color rgb="FFFF0000"/>
      </left>
      <right style="thick">
        <color theme="5"/>
      </right>
      <top style="thick">
        <color theme="5"/>
      </top>
      <bottom style="dotted">
        <color theme="5"/>
      </bottom>
      <diagonal/>
    </border>
    <border>
      <left style="hair">
        <color rgb="FFFF0000"/>
      </left>
      <right style="thick">
        <color theme="5"/>
      </right>
      <top style="dotted">
        <color theme="5"/>
      </top>
      <bottom style="dotted">
        <color theme="5"/>
      </bottom>
      <diagonal/>
    </border>
    <border>
      <left style="hair">
        <color rgb="FFFF0000"/>
      </left>
      <right style="thick">
        <color theme="5"/>
      </right>
      <top style="dotted">
        <color theme="5"/>
      </top>
      <bottom style="thick">
        <color theme="5"/>
      </bottom>
      <diagonal/>
    </border>
    <border>
      <left/>
      <right style="thick">
        <color theme="5"/>
      </right>
      <top style="dotted">
        <color theme="5"/>
      </top>
      <bottom/>
      <diagonal/>
    </border>
    <border>
      <left/>
      <right style="thick">
        <color theme="5"/>
      </right>
      <top style="dotted">
        <color theme="5"/>
      </top>
      <bottom style="dashed">
        <color rgb="FFE26B0A"/>
      </bottom>
      <diagonal/>
    </border>
    <border>
      <left/>
      <right style="thick">
        <color theme="5"/>
      </right>
      <top style="dashed">
        <color rgb="FFE26B0A"/>
      </top>
      <bottom/>
      <diagonal/>
    </border>
    <border>
      <left style="dotted">
        <color theme="5"/>
      </left>
      <right style="thick">
        <color theme="5"/>
      </right>
      <top style="dotted">
        <color theme="5"/>
      </top>
      <bottom/>
      <diagonal/>
    </border>
    <border>
      <left/>
      <right style="thick">
        <color theme="5"/>
      </right>
      <top style="thick">
        <color rgb="FFE26B0A"/>
      </top>
      <bottom style="dashed">
        <color rgb="FFE26B0A"/>
      </bottom>
      <diagonal/>
    </border>
    <border>
      <left/>
      <right style="thick">
        <color theme="5"/>
      </right>
      <top/>
      <bottom style="dashed">
        <color rgb="FFE26B0A"/>
      </bottom>
      <diagonal/>
    </border>
    <border>
      <left style="hair">
        <color rgb="FFFF0000"/>
      </left>
      <right style="thick">
        <color theme="5"/>
      </right>
      <top/>
      <bottom style="medium">
        <color theme="5"/>
      </bottom>
      <diagonal/>
    </border>
    <border>
      <left style="dashed">
        <color theme="5"/>
      </left>
      <right style="thick">
        <color theme="5"/>
      </right>
      <top style="dashed">
        <color theme="5"/>
      </top>
      <bottom style="dotted">
        <color theme="5"/>
      </bottom>
      <diagonal/>
    </border>
    <border>
      <left/>
      <right style="thick">
        <color theme="5"/>
      </right>
      <top style="thick">
        <color theme="5"/>
      </top>
      <bottom style="dashed">
        <color theme="5"/>
      </bottom>
      <diagonal/>
    </border>
    <border>
      <left style="dotted">
        <color theme="5"/>
      </left>
      <right style="thick">
        <color theme="5"/>
      </right>
      <top style="thick">
        <color theme="5"/>
      </top>
      <bottom style="dashed">
        <color theme="5"/>
      </bottom>
      <diagonal/>
    </border>
    <border>
      <left style="dotted">
        <color theme="5"/>
      </left>
      <right style="thick">
        <color theme="5"/>
      </right>
      <top/>
      <bottom/>
      <diagonal/>
    </border>
    <border>
      <left style="dotted">
        <color rgb="FFE26B0A"/>
      </left>
      <right style="thick">
        <color theme="5"/>
      </right>
      <top style="thick">
        <color theme="5"/>
      </top>
      <bottom style="dotted">
        <color rgb="FFE26B0A"/>
      </bottom>
      <diagonal/>
    </border>
    <border>
      <left style="dotted">
        <color rgb="FFE26B0A"/>
      </left>
      <right style="thick">
        <color theme="5"/>
      </right>
      <top style="dotted">
        <color rgb="FFE26B0A"/>
      </top>
      <bottom style="dotted">
        <color rgb="FFE26B0A"/>
      </bottom>
      <diagonal/>
    </border>
    <border>
      <left style="dotted">
        <color rgb="FFE26B0A"/>
      </left>
      <right style="thick">
        <color theme="5"/>
      </right>
      <top style="dotted">
        <color rgb="FFE26B0A"/>
      </top>
      <bottom style="thick">
        <color theme="5"/>
      </bottom>
      <diagonal/>
    </border>
    <border>
      <left style="dashed">
        <color rgb="FFE26B0A"/>
      </left>
      <right style="thick">
        <color theme="5"/>
      </right>
      <top style="dotted">
        <color theme="5"/>
      </top>
      <bottom style="dotted">
        <color theme="5"/>
      </bottom>
      <diagonal/>
    </border>
    <border>
      <left style="dashed">
        <color rgb="FFE26B0A"/>
      </left>
      <right style="thick">
        <color theme="5"/>
      </right>
      <top style="medium">
        <color theme="5"/>
      </top>
      <bottom style="dashed">
        <color rgb="FFE26B0A"/>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double">
        <color indexed="64"/>
      </left>
      <right/>
      <top style="thin">
        <color auto="1"/>
      </top>
      <bottom/>
      <diagonal/>
    </border>
    <border>
      <left style="double">
        <color indexed="64"/>
      </left>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indexed="64"/>
      </bottom>
      <diagonal/>
    </border>
  </borders>
  <cellStyleXfs count="7">
    <xf numFmtId="0" fontId="0" fillId="0" borderId="0"/>
    <xf numFmtId="9" fontId="1" fillId="0" borderId="0" applyFont="0" applyFill="0" applyBorder="0" applyAlignment="0" applyProtection="0"/>
    <xf numFmtId="0" fontId="7" fillId="0" borderId="0"/>
    <xf numFmtId="0" fontId="8" fillId="0" borderId="0"/>
    <xf numFmtId="0" fontId="1" fillId="0" borderId="0"/>
    <xf numFmtId="0" fontId="7" fillId="0" borderId="0"/>
    <xf numFmtId="0" fontId="15" fillId="0" borderId="0"/>
  </cellStyleXfs>
  <cellXfs count="896">
    <xf numFmtId="0" fontId="0" fillId="0" borderId="0" xfId="0"/>
    <xf numFmtId="0" fontId="2" fillId="0" borderId="0" xfId="0" applyFont="1" applyAlignment="1" applyProtection="1">
      <alignment horizontal="justify" vertical="center"/>
      <protection locked="0"/>
    </xf>
    <xf numFmtId="0" fontId="2" fillId="0" borderId="0" xfId="0"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4" fillId="4" borderId="15" xfId="0" applyFont="1" applyFill="1" applyBorder="1" applyAlignment="1">
      <alignment horizontal="left" vertical="center" wrapText="1"/>
    </xf>
    <xf numFmtId="0" fontId="4" fillId="4" borderId="15" xfId="0" applyFont="1" applyFill="1" applyBorder="1" applyAlignment="1">
      <alignment horizontal="left" vertical="center"/>
    </xf>
    <xf numFmtId="0" fontId="2" fillId="0" borderId="0" xfId="0" applyFont="1" applyAlignment="1" applyProtection="1">
      <alignment vertical="center"/>
      <protection locked="0"/>
    </xf>
    <xf numFmtId="0" fontId="3" fillId="0" borderId="0" xfId="0" applyFont="1" applyAlignment="1">
      <alignment vertical="center"/>
    </xf>
    <xf numFmtId="0" fontId="3" fillId="0" borderId="10" xfId="0" applyFont="1" applyBorder="1" applyAlignment="1">
      <alignment vertical="center" wrapText="1"/>
    </xf>
    <xf numFmtId="0" fontId="3" fillId="0" borderId="10" xfId="0" applyFont="1" applyBorder="1" applyAlignment="1">
      <alignment horizontal="justify" vertical="center" wrapText="1"/>
    </xf>
    <xf numFmtId="0" fontId="12" fillId="0" borderId="0" xfId="0" applyFont="1" applyAlignment="1">
      <alignment vertical="center"/>
    </xf>
    <xf numFmtId="0" fontId="12" fillId="0" borderId="5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10" xfId="0" applyFont="1" applyBorder="1" applyAlignment="1">
      <alignment horizontal="center" vertical="center" wrapText="1"/>
    </xf>
    <xf numFmtId="0" fontId="0" fillId="0" borderId="0" xfId="0" applyAlignment="1">
      <alignment vertical="center" wrapText="1"/>
    </xf>
    <xf numFmtId="0" fontId="9" fillId="0" borderId="0" xfId="0" applyFont="1" applyAlignment="1">
      <alignment horizontal="center" vertical="center"/>
    </xf>
    <xf numFmtId="0" fontId="12" fillId="0" borderId="0" xfId="0" applyFont="1" applyAlignment="1">
      <alignment horizontal="center" vertical="center" wrapText="1"/>
    </xf>
    <xf numFmtId="0" fontId="3" fillId="0" borderId="0" xfId="0" applyFont="1" applyAlignment="1">
      <alignment wrapText="1"/>
    </xf>
    <xf numFmtId="0" fontId="11" fillId="0" borderId="10" xfId="0" applyFont="1" applyBorder="1" applyAlignment="1" applyProtection="1">
      <alignment horizontal="left" vertical="center" wrapText="1"/>
      <protection locked="0"/>
    </xf>
    <xf numFmtId="0" fontId="11" fillId="0" borderId="23" xfId="0" applyFont="1" applyBorder="1" applyAlignment="1" applyProtection="1">
      <alignment horizontal="left" vertical="center" wrapText="1"/>
      <protection locked="0"/>
    </xf>
    <xf numFmtId="0" fontId="3" fillId="0" borderId="10" xfId="0" applyFont="1" applyBorder="1" applyAlignment="1">
      <alignment wrapText="1"/>
    </xf>
    <xf numFmtId="0" fontId="0" fillId="0" borderId="10" xfId="0" applyBorder="1" applyAlignment="1">
      <alignment vertical="center" wrapText="1"/>
    </xf>
    <xf numFmtId="0" fontId="9" fillId="0" borderId="10" xfId="0" applyFont="1" applyBorder="1" applyAlignment="1">
      <alignment horizontal="center" vertical="center"/>
    </xf>
    <xf numFmtId="0" fontId="12" fillId="0" borderId="0" xfId="0" applyFont="1" applyAlignment="1">
      <alignment wrapText="1"/>
    </xf>
    <xf numFmtId="0" fontId="3" fillId="0" borderId="23" xfId="0" applyFont="1" applyBorder="1" applyAlignment="1">
      <alignment wrapText="1"/>
    </xf>
    <xf numFmtId="0" fontId="7" fillId="0" borderId="66" xfId="0" applyFont="1" applyBorder="1" applyAlignment="1">
      <alignment wrapText="1"/>
    </xf>
    <xf numFmtId="0" fontId="7" fillId="0" borderId="69" xfId="0" applyFont="1" applyBorder="1" applyAlignment="1">
      <alignment wrapText="1"/>
    </xf>
    <xf numFmtId="0" fontId="3" fillId="0" borderId="62" xfId="0" applyFont="1" applyBorder="1" applyAlignment="1">
      <alignment wrapText="1"/>
    </xf>
    <xf numFmtId="0" fontId="3" fillId="0" borderId="69" xfId="0" applyFont="1" applyBorder="1" applyAlignment="1">
      <alignment wrapText="1"/>
    </xf>
    <xf numFmtId="0" fontId="3" fillId="0" borderId="63" xfId="0" applyFont="1" applyBorder="1" applyAlignment="1">
      <alignment wrapText="1"/>
    </xf>
    <xf numFmtId="0" fontId="12" fillId="0" borderId="65" xfId="0" applyFont="1" applyBorder="1" applyAlignment="1">
      <alignment wrapText="1"/>
    </xf>
    <xf numFmtId="0" fontId="12" fillId="0" borderId="68" xfId="0" applyFont="1" applyBorder="1" applyAlignment="1">
      <alignment wrapText="1"/>
    </xf>
    <xf numFmtId="0" fontId="12" fillId="0" borderId="23" xfId="0" applyFont="1" applyBorder="1" applyAlignment="1">
      <alignment wrapText="1"/>
    </xf>
    <xf numFmtId="0" fontId="12" fillId="0" borderId="10" xfId="0" applyFont="1" applyBorder="1" applyAlignment="1">
      <alignment horizontal="center" wrapText="1"/>
    </xf>
    <xf numFmtId="0" fontId="12" fillId="0" borderId="20" xfId="0" applyFont="1" applyBorder="1" applyAlignment="1">
      <alignment wrapText="1"/>
    </xf>
    <xf numFmtId="9" fontId="3" fillId="0" borderId="10" xfId="0" applyNumberFormat="1" applyFont="1" applyBorder="1" applyAlignment="1">
      <alignment wrapText="1"/>
    </xf>
    <xf numFmtId="0" fontId="12" fillId="0" borderId="10" xfId="0" applyFont="1" applyBorder="1" applyAlignment="1">
      <alignment wrapText="1"/>
    </xf>
    <xf numFmtId="0" fontId="14" fillId="0" borderId="10" xfId="5" applyFont="1" applyBorder="1" applyAlignment="1">
      <alignment horizontal="center" vertical="center" wrapText="1"/>
    </xf>
    <xf numFmtId="0" fontId="7" fillId="0" borderId="10" xfId="5" applyBorder="1" applyAlignment="1" applyProtection="1">
      <alignment horizontal="justify" vertical="center" wrapText="1"/>
      <protection locked="0"/>
    </xf>
    <xf numFmtId="0" fontId="7" fillId="0" borderId="10" xfId="0" applyFont="1" applyBorder="1" applyAlignment="1">
      <alignment wrapText="1"/>
    </xf>
    <xf numFmtId="0" fontId="3" fillId="0" borderId="20" xfId="0" applyFont="1" applyBorder="1" applyAlignment="1">
      <alignment wrapText="1"/>
    </xf>
    <xf numFmtId="0" fontId="7" fillId="12" borderId="0" xfId="5" applyFill="1"/>
    <xf numFmtId="0" fontId="7" fillId="12" borderId="73" xfId="5" applyFill="1" applyBorder="1"/>
    <xf numFmtId="0" fontId="7" fillId="12" borderId="74" xfId="5" applyFill="1" applyBorder="1"/>
    <xf numFmtId="0" fontId="14" fillId="0" borderId="68" xfId="5" applyFont="1" applyBorder="1" applyAlignment="1">
      <alignment vertical="center" wrapText="1"/>
    </xf>
    <xf numFmtId="0" fontId="14" fillId="0" borderId="20" xfId="5" applyFont="1" applyBorder="1" applyAlignment="1">
      <alignment vertical="center" wrapText="1"/>
    </xf>
    <xf numFmtId="0" fontId="14" fillId="0" borderId="0" xfId="5" applyFont="1" applyAlignment="1">
      <alignment horizontal="center" vertical="center" wrapText="1"/>
    </xf>
    <xf numFmtId="0" fontId="7" fillId="0" borderId="73" xfId="5" applyBorder="1" applyAlignment="1">
      <alignment vertical="center" wrapText="1"/>
    </xf>
    <xf numFmtId="0" fontId="7" fillId="0" borderId="74" xfId="5" applyBorder="1" applyAlignment="1">
      <alignment vertical="center" wrapText="1"/>
    </xf>
    <xf numFmtId="0" fontId="7" fillId="0" borderId="5" xfId="5" applyBorder="1" applyAlignment="1">
      <alignment vertical="center" wrapText="1"/>
    </xf>
    <xf numFmtId="9" fontId="7" fillId="0" borderId="10" xfId="5" applyNumberFormat="1" applyBorder="1" applyAlignment="1">
      <alignment horizontal="center" vertical="center" wrapText="1"/>
    </xf>
    <xf numFmtId="0" fontId="14" fillId="0" borderId="68" xfId="5" applyFont="1" applyBorder="1" applyAlignment="1">
      <alignment horizontal="center" vertical="center" wrapText="1"/>
    </xf>
    <xf numFmtId="0" fontId="14" fillId="0" borderId="20" xfId="5" applyFont="1" applyBorder="1" applyAlignment="1">
      <alignment horizontal="center" vertical="center" wrapText="1"/>
    </xf>
    <xf numFmtId="0" fontId="14" fillId="0" borderId="23" xfId="5" applyFont="1" applyBorder="1" applyAlignment="1">
      <alignment horizontal="center" vertical="center" wrapText="1"/>
    </xf>
    <xf numFmtId="0" fontId="14" fillId="0" borderId="10" xfId="5" applyFont="1" applyBorder="1" applyAlignment="1">
      <alignment vertical="center" wrapText="1"/>
    </xf>
    <xf numFmtId="0" fontId="6" fillId="0" borderId="10" xfId="0" applyFont="1" applyBorder="1" applyAlignment="1">
      <alignment horizontal="center" vertical="center" wrapText="1" readingOrder="1"/>
    </xf>
    <xf numFmtId="0" fontId="6" fillId="0" borderId="63" xfId="0" applyFont="1" applyBorder="1" applyAlignment="1">
      <alignment horizontal="center" vertical="center" wrapText="1" readingOrder="1"/>
    </xf>
    <xf numFmtId="0" fontId="7" fillId="0" borderId="10" xfId="5" applyBorder="1" applyAlignment="1">
      <alignment vertical="center" wrapText="1"/>
    </xf>
    <xf numFmtId="0" fontId="7" fillId="0" borderId="10" xfId="0" applyFont="1" applyBorder="1" applyAlignment="1">
      <alignment horizontal="center" vertical="center" wrapText="1" readingOrder="1"/>
    </xf>
    <xf numFmtId="0" fontId="7" fillId="0" borderId="64" xfId="5" applyBorder="1" applyAlignment="1">
      <alignment horizontal="center" vertical="center" wrapText="1"/>
    </xf>
    <xf numFmtId="0" fontId="7" fillId="0" borderId="10" xfId="5" applyBorder="1" applyAlignment="1">
      <alignment horizontal="justify" vertical="center" wrapText="1"/>
    </xf>
    <xf numFmtId="9" fontId="3" fillId="0" borderId="20" xfId="0" applyNumberFormat="1" applyFont="1" applyBorder="1" applyAlignment="1">
      <alignment horizontal="center" vertical="center" wrapText="1"/>
    </xf>
    <xf numFmtId="0" fontId="7" fillId="0" borderId="0" xfId="5" applyAlignment="1">
      <alignment horizontal="justify" vertical="center" wrapText="1"/>
    </xf>
    <xf numFmtId="0" fontId="13" fillId="13" borderId="10" xfId="0" applyFont="1" applyFill="1" applyBorder="1" applyAlignment="1">
      <alignment horizontal="center" vertical="center" wrapText="1" readingOrder="1"/>
    </xf>
    <xf numFmtId="0" fontId="7" fillId="5" borderId="63" xfId="0" applyFont="1" applyFill="1" applyBorder="1" applyAlignment="1">
      <alignment horizontal="center" vertical="center" wrapText="1" readingOrder="1"/>
    </xf>
    <xf numFmtId="9" fontId="7" fillId="0" borderId="64" xfId="5" applyNumberFormat="1" applyBorder="1" applyAlignment="1">
      <alignment horizontal="center" vertical="center" wrapText="1"/>
    </xf>
    <xf numFmtId="0" fontId="13" fillId="14" borderId="10" xfId="0" applyFont="1" applyFill="1" applyBorder="1" applyAlignment="1">
      <alignment horizontal="center" vertical="center" wrapText="1" readingOrder="1"/>
    </xf>
    <xf numFmtId="0" fontId="13" fillId="11" borderId="10" xfId="0" applyFont="1" applyFill="1" applyBorder="1" applyAlignment="1">
      <alignment horizontal="center" vertical="center" wrapText="1" readingOrder="1"/>
    </xf>
    <xf numFmtId="0" fontId="6" fillId="0" borderId="77" xfId="0" applyFont="1" applyBorder="1" applyAlignment="1">
      <alignment horizontal="center" vertical="center" wrapText="1" readingOrder="1"/>
    </xf>
    <xf numFmtId="0" fontId="13" fillId="11" borderId="77" xfId="0" applyFont="1" applyFill="1" applyBorder="1" applyAlignment="1">
      <alignment horizontal="center" vertical="center" wrapText="1" readingOrder="1"/>
    </xf>
    <xf numFmtId="0" fontId="13" fillId="14" borderId="77" xfId="0" applyFont="1" applyFill="1" applyBorder="1" applyAlignment="1">
      <alignment horizontal="center" vertical="center" wrapText="1" readingOrder="1"/>
    </xf>
    <xf numFmtId="0" fontId="13" fillId="13" borderId="77" xfId="0" applyFont="1" applyFill="1" applyBorder="1" applyAlignment="1">
      <alignment horizontal="center" vertical="center" wrapText="1" readingOrder="1"/>
    </xf>
    <xf numFmtId="0" fontId="7" fillId="5" borderId="67" xfId="0" applyFont="1" applyFill="1" applyBorder="1" applyAlignment="1">
      <alignment horizontal="center" vertical="center" wrapText="1" readingOrder="1"/>
    </xf>
    <xf numFmtId="0" fontId="16" fillId="0" borderId="0" xfId="5" applyFont="1" applyAlignment="1">
      <alignment vertical="center" wrapText="1"/>
    </xf>
    <xf numFmtId="0" fontId="17" fillId="0" borderId="64"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63" xfId="0" applyFont="1" applyBorder="1" applyAlignment="1">
      <alignment horizontal="center" vertical="center" wrapText="1"/>
    </xf>
    <xf numFmtId="0" fontId="16" fillId="0" borderId="0" xfId="5" applyFont="1" applyAlignment="1">
      <alignment horizontal="center" vertical="center" wrapText="1"/>
    </xf>
    <xf numFmtId="0" fontId="10" fillId="11" borderId="64" xfId="0" applyFont="1" applyFill="1" applyBorder="1" applyAlignment="1">
      <alignment horizontal="center" vertical="center" wrapText="1"/>
    </xf>
    <xf numFmtId="0" fontId="10" fillId="0" borderId="10" xfId="0" applyFont="1" applyBorder="1" applyAlignment="1">
      <alignment vertical="center" wrapText="1"/>
    </xf>
    <xf numFmtId="0" fontId="10" fillId="0" borderId="23" xfId="0" applyFont="1" applyBorder="1" applyAlignment="1">
      <alignment horizontal="center" vertical="center" wrapText="1"/>
    </xf>
    <xf numFmtId="9" fontId="10" fillId="0" borderId="63" xfId="0" applyNumberFormat="1" applyFont="1" applyBorder="1" applyAlignment="1">
      <alignment horizontal="center" vertical="center" wrapText="1"/>
    </xf>
    <xf numFmtId="0" fontId="18" fillId="0" borderId="0" xfId="5" applyFont="1" applyAlignment="1">
      <alignment vertical="center" wrapText="1"/>
    </xf>
    <xf numFmtId="9" fontId="10" fillId="0" borderId="10" xfId="0" applyNumberFormat="1" applyFont="1" applyBorder="1" applyAlignment="1">
      <alignment horizontal="center" vertical="center" wrapText="1"/>
    </xf>
    <xf numFmtId="0" fontId="10" fillId="0" borderId="69" xfId="0" applyFont="1" applyBorder="1" applyAlignment="1">
      <alignment vertical="center" wrapText="1"/>
    </xf>
    <xf numFmtId="0" fontId="10" fillId="15" borderId="64" xfId="0" applyFont="1" applyFill="1" applyBorder="1" applyAlignment="1">
      <alignment horizontal="center" vertical="center" wrapText="1"/>
    </xf>
    <xf numFmtId="0" fontId="10" fillId="0" borderId="10" xfId="0" applyFont="1" applyBorder="1" applyAlignment="1">
      <alignment horizontal="justify" vertical="center" wrapText="1"/>
    </xf>
    <xf numFmtId="0" fontId="10" fillId="0" borderId="63" xfId="0" applyFont="1" applyBorder="1" applyAlignment="1">
      <alignment vertical="center" wrapText="1"/>
    </xf>
    <xf numFmtId="0" fontId="10" fillId="8" borderId="64" xfId="0" applyFont="1" applyFill="1" applyBorder="1" applyAlignment="1">
      <alignment horizontal="center" vertical="center" wrapText="1"/>
    </xf>
    <xf numFmtId="0" fontId="10" fillId="16" borderId="64"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8" fillId="0" borderId="76" xfId="5" applyFont="1" applyBorder="1" applyAlignment="1">
      <alignment vertical="center" wrapText="1"/>
    </xf>
    <xf numFmtId="0" fontId="18" fillId="0" borderId="77" xfId="5" applyFont="1" applyBorder="1" applyAlignment="1">
      <alignment vertical="center" wrapText="1"/>
    </xf>
    <xf numFmtId="0" fontId="18" fillId="0" borderId="79" xfId="5" applyFont="1" applyBorder="1" applyAlignment="1">
      <alignment horizontal="center" vertical="center" wrapText="1"/>
    </xf>
    <xf numFmtId="0" fontId="18" fillId="0" borderId="67" xfId="5" applyFont="1" applyBorder="1" applyAlignment="1">
      <alignment vertical="center" wrapText="1"/>
    </xf>
    <xf numFmtId="0" fontId="17" fillId="0" borderId="60" xfId="0" applyFont="1" applyBorder="1" applyAlignment="1">
      <alignment horizontal="justify" vertical="center" wrapText="1"/>
    </xf>
    <xf numFmtId="0" fontId="10" fillId="4" borderId="64" xfId="0" applyFont="1" applyFill="1" applyBorder="1" applyAlignment="1">
      <alignment horizontal="center" vertical="center" wrapText="1"/>
    </xf>
    <xf numFmtId="0" fontId="7" fillId="0" borderId="0" xfId="0" applyFont="1" applyAlignment="1">
      <alignment horizontal="center" vertical="center" wrapText="1" readingOrder="1"/>
    </xf>
    <xf numFmtId="0" fontId="7" fillId="12" borderId="83" xfId="5" applyFill="1" applyBorder="1"/>
    <xf numFmtId="0" fontId="7" fillId="0" borderId="80" xfId="5" applyBorder="1" applyAlignment="1">
      <alignment vertical="center" wrapText="1"/>
    </xf>
    <xf numFmtId="0" fontId="7" fillId="0" borderId="0" xfId="5" applyAlignment="1">
      <alignment vertical="center" wrapText="1"/>
    </xf>
    <xf numFmtId="0" fontId="7" fillId="5" borderId="10" xfId="0" applyFont="1" applyFill="1" applyBorder="1" applyAlignment="1">
      <alignment horizontal="center" vertical="center" wrapText="1" readingOrder="1"/>
    </xf>
    <xf numFmtId="49" fontId="3" fillId="0" borderId="10" xfId="0" applyNumberFormat="1" applyFont="1" applyBorder="1" applyAlignment="1">
      <alignment wrapText="1"/>
    </xf>
    <xf numFmtId="0" fontId="19" fillId="0" borderId="0" xfId="5" applyFont="1" applyAlignment="1">
      <alignment vertical="center" wrapText="1"/>
    </xf>
    <xf numFmtId="0" fontId="19" fillId="0" borderId="0" xfId="0" applyFont="1" applyAlignment="1">
      <alignment vertical="center" readingOrder="1"/>
    </xf>
    <xf numFmtId="0" fontId="2" fillId="0" borderId="0" xfId="0" applyFont="1"/>
    <xf numFmtId="0" fontId="7" fillId="4" borderId="10"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1" fillId="0" borderId="257" xfId="0" applyFont="1" applyBorder="1" applyAlignment="1" applyProtection="1">
      <alignment horizontal="center" vertical="center" wrapText="1"/>
      <protection locked="0"/>
    </xf>
    <xf numFmtId="0" fontId="11" fillId="0" borderId="258" xfId="0" applyFont="1" applyBorder="1" applyAlignment="1" applyProtection="1">
      <alignment horizontal="center" vertical="center" wrapText="1"/>
      <protection locked="0"/>
    </xf>
    <xf numFmtId="4" fontId="20" fillId="0" borderId="256"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left" vertical="center" wrapText="1"/>
      <protection locked="0"/>
    </xf>
    <xf numFmtId="4" fontId="20" fillId="0" borderId="266" xfId="0" applyNumberFormat="1" applyFont="1" applyBorder="1" applyAlignment="1" applyProtection="1">
      <alignment horizontal="justify" vertical="center" wrapText="1"/>
      <protection locked="0"/>
    </xf>
    <xf numFmtId="4" fontId="2" fillId="0" borderId="233" xfId="0" applyNumberFormat="1" applyFont="1" applyBorder="1" applyAlignment="1" applyProtection="1">
      <alignment horizontal="justify" vertical="center" wrapText="1"/>
      <protection locked="0"/>
    </xf>
    <xf numFmtId="4" fontId="2" fillId="4" borderId="292" xfId="0" applyNumberFormat="1" applyFont="1" applyFill="1" applyBorder="1" applyAlignment="1" applyProtection="1">
      <alignment horizontal="left" vertical="center" wrapText="1"/>
      <protection locked="0"/>
    </xf>
    <xf numFmtId="164" fontId="11" fillId="4" borderId="242" xfId="0" applyNumberFormat="1" applyFont="1" applyFill="1" applyBorder="1" applyAlignment="1" applyProtection="1">
      <alignment horizontal="justify" vertical="center" wrapText="1"/>
      <protection locked="0"/>
    </xf>
    <xf numFmtId="4" fontId="2" fillId="0" borderId="270" xfId="0" applyNumberFormat="1" applyFont="1" applyBorder="1" applyAlignment="1" applyProtection="1">
      <alignment horizontal="justify" vertical="center" wrapText="1"/>
      <protection locked="0"/>
    </xf>
    <xf numFmtId="4" fontId="2" fillId="0" borderId="293" xfId="0" applyNumberFormat="1" applyFont="1" applyBorder="1" applyAlignment="1" applyProtection="1">
      <alignment horizontal="justify" vertical="center"/>
      <protection locked="0"/>
    </xf>
    <xf numFmtId="0" fontId="5" fillId="0" borderId="56" xfId="0" applyFont="1" applyBorder="1" applyAlignment="1" applyProtection="1">
      <alignment horizontal="left" vertical="center" wrapText="1"/>
      <protection locked="0"/>
    </xf>
    <xf numFmtId="4" fontId="5" fillId="10" borderId="0" xfId="0" applyNumberFormat="1" applyFont="1" applyFill="1" applyAlignment="1" applyProtection="1">
      <alignment horizontal="center" vertical="center"/>
      <protection locked="0"/>
    </xf>
    <xf numFmtId="0" fontId="5" fillId="0" borderId="0" xfId="0" applyFont="1" applyAlignment="1" applyProtection="1">
      <alignment horizontal="left" vertical="center" wrapText="1"/>
      <protection locked="0"/>
    </xf>
    <xf numFmtId="0" fontId="2" fillId="4" borderId="0" xfId="0" applyFont="1" applyFill="1" applyAlignment="1" applyProtection="1">
      <alignment vertical="center"/>
      <protection locked="0"/>
    </xf>
    <xf numFmtId="4" fontId="5" fillId="10" borderId="0" xfId="0" applyNumberFormat="1" applyFont="1" applyFill="1" applyAlignment="1" applyProtection="1">
      <alignment horizontal="left" vertical="center"/>
      <protection locked="0"/>
    </xf>
    <xf numFmtId="4" fontId="20" fillId="10" borderId="0" xfId="0" applyNumberFormat="1" applyFont="1" applyFill="1" applyAlignment="1" applyProtection="1">
      <alignment horizontal="left" vertical="center" wrapText="1"/>
      <protection locked="0"/>
    </xf>
    <xf numFmtId="4" fontId="20" fillId="10" borderId="0" xfId="0" applyNumberFormat="1" applyFont="1" applyFill="1" applyAlignment="1" applyProtection="1">
      <alignment vertical="center"/>
      <protection locked="0"/>
    </xf>
    <xf numFmtId="4" fontId="20" fillId="10" borderId="0" xfId="0" applyNumberFormat="1" applyFont="1" applyFill="1" applyAlignment="1" applyProtection="1">
      <alignment horizontal="center" vertical="center"/>
      <protection locked="0"/>
    </xf>
    <xf numFmtId="4" fontId="20" fillId="3" borderId="0" xfId="0" applyNumberFormat="1" applyFont="1" applyFill="1" applyAlignment="1" applyProtection="1">
      <alignment vertical="center"/>
      <protection locked="0"/>
    </xf>
    <xf numFmtId="4" fontId="5" fillId="2" borderId="33"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textRotation="90"/>
      <protection locked="0"/>
    </xf>
    <xf numFmtId="4" fontId="5" fillId="2" borderId="39" xfId="0" applyNumberFormat="1" applyFont="1" applyFill="1" applyBorder="1" applyAlignment="1" applyProtection="1">
      <alignment horizontal="center" vertical="center" textRotation="90" wrapText="1"/>
      <protection locked="0"/>
    </xf>
    <xf numFmtId="4" fontId="5" fillId="2" borderId="40" xfId="0" applyNumberFormat="1" applyFont="1" applyFill="1" applyBorder="1" applyAlignment="1" applyProtection="1">
      <alignment horizontal="center" vertical="center" textRotation="90"/>
      <protection locked="0"/>
    </xf>
    <xf numFmtId="49" fontId="20" fillId="0" borderId="96" xfId="0" applyNumberFormat="1" applyFont="1" applyBorder="1" applyAlignment="1" applyProtection="1">
      <alignment horizontal="center" vertical="center"/>
      <protection locked="0"/>
    </xf>
    <xf numFmtId="9" fontId="20" fillId="6" borderId="96" xfId="1" applyFont="1" applyFill="1" applyBorder="1" applyAlignment="1" applyProtection="1">
      <alignment horizontal="center" vertical="center"/>
    </xf>
    <xf numFmtId="9" fontId="20" fillId="7" borderId="107" xfId="1" applyFont="1" applyFill="1" applyBorder="1" applyAlignment="1" applyProtection="1">
      <alignment horizontal="center" vertical="center"/>
    </xf>
    <xf numFmtId="0" fontId="20" fillId="0" borderId="97" xfId="0" applyFont="1" applyBorder="1" applyAlignment="1" applyProtection="1">
      <alignment horizontal="center" vertical="center"/>
      <protection locked="0"/>
    </xf>
    <xf numFmtId="9" fontId="20" fillId="9" borderId="97" xfId="1" applyFont="1" applyFill="1" applyBorder="1" applyAlignment="1" applyProtection="1">
      <alignment horizontal="center" vertical="center"/>
    </xf>
    <xf numFmtId="9" fontId="20" fillId="6" borderId="9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0" fontId="11" fillId="12" borderId="83" xfId="5" applyFont="1" applyFill="1" applyBorder="1"/>
    <xf numFmtId="0" fontId="11" fillId="12" borderId="73" xfId="5" applyFont="1" applyFill="1" applyBorder="1"/>
    <xf numFmtId="0" fontId="11" fillId="12" borderId="74" xfId="5" applyFont="1" applyFill="1" applyBorder="1"/>
    <xf numFmtId="0" fontId="24" fillId="0" borderId="6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23" xfId="0" applyFont="1" applyBorder="1" applyAlignment="1">
      <alignment horizontal="center" vertical="center" wrapText="1"/>
    </xf>
    <xf numFmtId="0" fontId="11" fillId="0" borderId="80" xfId="5" applyFont="1" applyBorder="1" applyAlignment="1">
      <alignment vertical="center" wrapText="1"/>
    </xf>
    <xf numFmtId="0" fontId="11" fillId="0" borderId="5" xfId="5" applyFont="1" applyBorder="1" applyAlignment="1">
      <alignment vertical="center" wrapText="1"/>
    </xf>
    <xf numFmtId="0" fontId="11" fillId="0" borderId="0" xfId="5" applyFont="1" applyAlignment="1">
      <alignment vertical="center" wrapText="1"/>
    </xf>
    <xf numFmtId="9" fontId="11" fillId="0" borderId="10" xfId="5" applyNumberFormat="1" applyFont="1" applyBorder="1" applyAlignment="1">
      <alignment horizontal="center" vertical="center" wrapText="1"/>
    </xf>
    <xf numFmtId="0" fontId="2" fillId="11" borderId="64" xfId="0" applyFont="1" applyFill="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10" xfId="0" applyFont="1" applyBorder="1" applyAlignment="1">
      <alignment vertical="center" wrapText="1"/>
    </xf>
    <xf numFmtId="0" fontId="2" fillId="0" borderId="69" xfId="0" applyFont="1" applyBorder="1" applyAlignment="1">
      <alignment vertical="center" wrapText="1"/>
    </xf>
    <xf numFmtId="0" fontId="2" fillId="0" borderId="23" xfId="0" applyFont="1" applyBorder="1" applyAlignment="1">
      <alignment horizontal="center" vertical="center" wrapText="1"/>
    </xf>
    <xf numFmtId="9" fontId="2" fillId="0" borderId="63" xfId="0" applyNumberFormat="1" applyFont="1" applyBorder="1" applyAlignment="1">
      <alignment horizontal="center" vertical="center" wrapText="1"/>
    </xf>
    <xf numFmtId="0" fontId="11" fillId="0" borderId="10" xfId="5" applyFont="1" applyBorder="1" applyAlignment="1">
      <alignment vertical="center" wrapText="1"/>
    </xf>
    <xf numFmtId="0" fontId="11" fillId="0" borderId="10" xfId="0" applyFont="1" applyBorder="1" applyAlignment="1">
      <alignment horizontal="center" vertical="center" wrapText="1" readingOrder="1"/>
    </xf>
    <xf numFmtId="0" fontId="2" fillId="15" borderId="64" xfId="0" applyFont="1" applyFill="1" applyBorder="1" applyAlignment="1">
      <alignment horizontal="center" vertical="center" wrapText="1"/>
    </xf>
    <xf numFmtId="0" fontId="2" fillId="0" borderId="10" xfId="0" applyFont="1" applyBorder="1" applyAlignment="1">
      <alignment horizontal="justify" vertical="center" wrapText="1"/>
    </xf>
    <xf numFmtId="0" fontId="2" fillId="0" borderId="63" xfId="0" applyFont="1" applyBorder="1" applyAlignment="1">
      <alignment vertical="center" wrapText="1"/>
    </xf>
    <xf numFmtId="9" fontId="11" fillId="0" borderId="64" xfId="5" applyNumberFormat="1" applyFont="1" applyBorder="1" applyAlignment="1">
      <alignment horizontal="center" vertical="center" wrapText="1"/>
    </xf>
    <xf numFmtId="0" fontId="20" fillId="13" borderId="10" xfId="0" applyFont="1" applyFill="1" applyBorder="1" applyAlignment="1">
      <alignment horizontal="center" vertical="center" wrapText="1" readingOrder="1"/>
    </xf>
    <xf numFmtId="0" fontId="11" fillId="5" borderId="10" xfId="0" applyFont="1" applyFill="1" applyBorder="1" applyAlignment="1">
      <alignment horizontal="center" vertical="center" wrapText="1" readingOrder="1"/>
    </xf>
    <xf numFmtId="0" fontId="2" fillId="8" borderId="64" xfId="0" applyFont="1" applyFill="1" applyBorder="1" applyAlignment="1">
      <alignment horizontal="center" vertical="center" wrapText="1"/>
    </xf>
    <xf numFmtId="0" fontId="20" fillId="14" borderId="10" xfId="0" applyFont="1" applyFill="1" applyBorder="1" applyAlignment="1">
      <alignment horizontal="center" vertical="center" wrapText="1" readingOrder="1"/>
    </xf>
    <xf numFmtId="0" fontId="2" fillId="16" borderId="64" xfId="0" applyFont="1" applyFill="1" applyBorder="1" applyAlignment="1">
      <alignment horizontal="center" vertical="center" wrapText="1"/>
    </xf>
    <xf numFmtId="49" fontId="20" fillId="0" borderId="157" xfId="0" applyNumberFormat="1" applyFont="1" applyBorder="1" applyAlignment="1" applyProtection="1">
      <alignment horizontal="center" vertical="center"/>
      <protection locked="0"/>
    </xf>
    <xf numFmtId="0" fontId="2" fillId="5" borderId="64" xfId="0" applyFont="1" applyFill="1" applyBorder="1" applyAlignment="1">
      <alignment horizontal="center" vertical="center" wrapText="1"/>
    </xf>
    <xf numFmtId="0" fontId="20" fillId="11" borderId="10" xfId="0" applyFont="1" applyFill="1" applyBorder="1" applyAlignment="1">
      <alignment horizontal="center" vertical="center" wrapText="1" readingOrder="1"/>
    </xf>
    <xf numFmtId="9" fontId="20" fillId="9" borderId="98" xfId="1" applyFont="1" applyFill="1" applyBorder="1" applyAlignment="1" applyProtection="1">
      <alignment horizontal="center" vertical="center"/>
    </xf>
    <xf numFmtId="9" fontId="20" fillId="6" borderId="98"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258" xfId="0" applyNumberFormat="1" applyFont="1" applyBorder="1" applyAlignment="1" applyProtection="1">
      <alignment horizontal="justify" vertical="center" wrapText="1"/>
      <protection locked="0"/>
    </xf>
    <xf numFmtId="9" fontId="20" fillId="6" borderId="113" xfId="1" applyFont="1" applyFill="1" applyBorder="1" applyAlignment="1" applyProtection="1">
      <alignment horizontal="center" vertical="center"/>
    </xf>
    <xf numFmtId="9" fontId="20" fillId="9" borderId="14" xfId="1" applyFont="1" applyFill="1" applyBorder="1" applyAlignment="1" applyProtection="1">
      <alignment horizontal="center" vertical="center"/>
    </xf>
    <xf numFmtId="9" fontId="20" fillId="6" borderId="14" xfId="1" applyFont="1" applyFill="1" applyBorder="1" applyAlignment="1" applyProtection="1">
      <alignment horizontal="center" vertical="center"/>
    </xf>
    <xf numFmtId="4" fontId="20" fillId="0" borderId="259" xfId="0" applyNumberFormat="1" applyFont="1" applyBorder="1" applyAlignment="1" applyProtection="1">
      <alignment horizontal="justify" vertical="center" wrapText="1"/>
      <protection locked="0"/>
    </xf>
    <xf numFmtId="4" fontId="20" fillId="0" borderId="260" xfId="0" applyNumberFormat="1" applyFont="1" applyBorder="1" applyAlignment="1" applyProtection="1">
      <alignment horizontal="justify" vertical="center" wrapText="1"/>
      <protection locked="0"/>
    </xf>
    <xf numFmtId="9" fontId="20" fillId="9" borderId="118" xfId="1" applyFont="1" applyFill="1" applyBorder="1" applyAlignment="1" applyProtection="1">
      <alignment horizontal="center" vertical="center"/>
    </xf>
    <xf numFmtId="9" fontId="20" fillId="6" borderId="118" xfId="1" applyFont="1" applyFill="1" applyBorder="1" applyAlignment="1" applyProtection="1">
      <alignment horizontal="center" vertical="center"/>
    </xf>
    <xf numFmtId="4" fontId="20" fillId="0" borderId="261" xfId="0" applyNumberFormat="1" applyFont="1" applyBorder="1" applyAlignment="1" applyProtection="1">
      <alignment horizontal="justify" vertical="center" wrapText="1"/>
      <protection locked="0"/>
    </xf>
    <xf numFmtId="4" fontId="20" fillId="0" borderId="262" xfId="0" applyNumberFormat="1" applyFont="1" applyBorder="1" applyAlignment="1" applyProtection="1">
      <alignment horizontal="justify" vertical="center" wrapText="1"/>
      <protection locked="0"/>
    </xf>
    <xf numFmtId="4" fontId="20" fillId="0" borderId="263" xfId="0" applyNumberFormat="1" applyFont="1" applyBorder="1" applyAlignment="1" applyProtection="1">
      <alignment horizontal="justify" vertical="center" wrapText="1"/>
      <protection locked="0"/>
    </xf>
    <xf numFmtId="4" fontId="20" fillId="0" borderId="264" xfId="0" applyNumberFormat="1" applyFont="1" applyBorder="1" applyAlignment="1" applyProtection="1">
      <alignment horizontal="justify" vertical="center" wrapText="1"/>
      <protection locked="0"/>
    </xf>
    <xf numFmtId="4" fontId="20" fillId="0" borderId="265" xfId="0" applyNumberFormat="1" applyFont="1" applyBorder="1" applyAlignment="1" applyProtection="1">
      <alignment horizontal="justify" vertical="center" wrapText="1"/>
      <protection locked="0"/>
    </xf>
    <xf numFmtId="4" fontId="11" fillId="0" borderId="258" xfId="0" applyNumberFormat="1" applyFont="1" applyBorder="1" applyAlignment="1" applyProtection="1">
      <alignment horizontal="justify" vertical="center" wrapText="1"/>
      <protection locked="0"/>
    </xf>
    <xf numFmtId="4" fontId="11" fillId="4" borderId="266" xfId="0" applyNumberFormat="1" applyFont="1" applyFill="1" applyBorder="1" applyAlignment="1" applyProtection="1">
      <alignment horizontal="justify" vertical="center" wrapText="1"/>
      <protection locked="0"/>
    </xf>
    <xf numFmtId="4" fontId="2" fillId="4" borderId="264" xfId="0" applyNumberFormat="1" applyFont="1" applyFill="1" applyBorder="1" applyAlignment="1" applyProtection="1">
      <alignment horizontal="justify" vertical="center" wrapText="1"/>
      <protection locked="0"/>
    </xf>
    <xf numFmtId="4" fontId="20" fillId="0" borderId="256" xfId="0" applyNumberFormat="1" applyFont="1" applyBorder="1" applyAlignment="1" applyProtection="1">
      <alignment horizontal="center" vertical="center" wrapText="1"/>
      <protection locked="0"/>
    </xf>
    <xf numFmtId="4" fontId="20" fillId="0" borderId="267" xfId="0" applyNumberFormat="1" applyFont="1" applyBorder="1" applyAlignment="1" applyProtection="1">
      <alignment horizontal="justify" vertical="center" wrapText="1"/>
      <protection locked="0"/>
    </xf>
    <xf numFmtId="4" fontId="2" fillId="4" borderId="258" xfId="0" applyNumberFormat="1" applyFont="1" applyFill="1" applyBorder="1" applyAlignment="1" applyProtection="1">
      <alignment horizontal="justify" vertical="center" wrapText="1"/>
      <protection locked="0"/>
    </xf>
    <xf numFmtId="4" fontId="20" fillId="0" borderId="268" xfId="0" applyNumberFormat="1" applyFont="1" applyBorder="1" applyAlignment="1" applyProtection="1">
      <alignment horizontal="justify" vertical="center" wrapText="1"/>
      <protection locked="0"/>
    </xf>
    <xf numFmtId="4" fontId="2" fillId="4" borderId="266" xfId="0" applyNumberFormat="1" applyFont="1" applyFill="1" applyBorder="1" applyAlignment="1" applyProtection="1">
      <alignment horizontal="justify" vertical="center" wrapText="1"/>
      <protection locked="0"/>
    </xf>
    <xf numFmtId="4" fontId="11" fillId="0" borderId="264" xfId="0" applyNumberFormat="1" applyFont="1" applyBorder="1" applyAlignment="1" applyProtection="1">
      <alignment horizontal="justify" vertical="center" wrapText="1"/>
      <protection locked="0"/>
    </xf>
    <xf numFmtId="0" fontId="20" fillId="0" borderId="98" xfId="0" applyFont="1" applyBorder="1" applyAlignment="1" applyProtection="1">
      <alignment horizontal="center" vertical="center"/>
      <protection locked="0"/>
    </xf>
    <xf numFmtId="4" fontId="20" fillId="0" borderId="256" xfId="0" applyNumberFormat="1" applyFont="1" applyBorder="1" applyAlignment="1" applyProtection="1">
      <alignment horizontal="justify" vertical="center"/>
      <protection locked="0"/>
    </xf>
    <xf numFmtId="4" fontId="20" fillId="0" borderId="257" xfId="0" applyNumberFormat="1" applyFont="1" applyBorder="1" applyAlignment="1" applyProtection="1">
      <alignment horizontal="justify" vertical="center"/>
      <protection locked="0"/>
    </xf>
    <xf numFmtId="9" fontId="20" fillId="7" borderId="39" xfId="1" applyFont="1" applyFill="1" applyBorder="1" applyAlignment="1" applyProtection="1">
      <alignment horizontal="center" vertical="center"/>
    </xf>
    <xf numFmtId="4" fontId="11" fillId="0" borderId="267" xfId="0" applyNumberFormat="1" applyFont="1" applyBorder="1" applyAlignment="1" applyProtection="1">
      <alignment horizontal="justify" vertical="center" wrapText="1"/>
      <protection locked="0"/>
    </xf>
    <xf numFmtId="4" fontId="11" fillId="0" borderId="257" xfId="0" applyNumberFormat="1" applyFont="1" applyBorder="1" applyAlignment="1" applyProtection="1">
      <alignment horizontal="justify" vertical="center" wrapText="1"/>
      <protection locked="0"/>
    </xf>
    <xf numFmtId="4" fontId="11" fillId="4" borderId="256" xfId="0" applyNumberFormat="1" applyFont="1" applyFill="1" applyBorder="1" applyAlignment="1" applyProtection="1">
      <alignment horizontal="justify" vertical="center" wrapText="1"/>
      <protection locked="0"/>
    </xf>
    <xf numFmtId="4" fontId="20" fillId="4" borderId="258" xfId="0" applyNumberFormat="1" applyFont="1" applyFill="1" applyBorder="1" applyAlignment="1" applyProtection="1">
      <alignment horizontal="justify" vertical="center" wrapText="1"/>
      <protection locked="0"/>
    </xf>
    <xf numFmtId="4" fontId="11" fillId="4" borderId="270" xfId="0" applyNumberFormat="1" applyFont="1" applyFill="1" applyBorder="1" applyAlignment="1" applyProtection="1">
      <alignment horizontal="left" vertical="center" wrapText="1"/>
      <protection locked="0"/>
    </xf>
    <xf numFmtId="4" fontId="11" fillId="4" borderId="266" xfId="0" applyNumberFormat="1" applyFont="1" applyFill="1" applyBorder="1" applyAlignment="1" applyProtection="1">
      <alignment horizontal="left" vertical="center" wrapText="1"/>
      <protection locked="0"/>
    </xf>
    <xf numFmtId="0" fontId="20" fillId="0" borderId="102" xfId="0" applyFont="1" applyBorder="1" applyAlignment="1" applyProtection="1">
      <alignment horizontal="center" vertical="center"/>
      <protection locked="0"/>
    </xf>
    <xf numFmtId="0" fontId="20" fillId="0" borderId="195" xfId="0" applyFont="1" applyBorder="1" applyAlignment="1" applyProtection="1">
      <alignment horizontal="center" vertical="center"/>
      <protection locked="0"/>
    </xf>
    <xf numFmtId="9" fontId="20" fillId="9" borderId="129" xfId="1" applyFont="1" applyFill="1" applyBorder="1" applyAlignment="1" applyProtection="1">
      <alignment horizontal="center" vertical="center"/>
    </xf>
    <xf numFmtId="9" fontId="20" fillId="6" borderId="129" xfId="1" applyFont="1" applyFill="1" applyBorder="1" applyAlignment="1" applyProtection="1">
      <alignment horizontal="center" vertical="center"/>
    </xf>
    <xf numFmtId="9" fontId="20" fillId="9" borderId="199" xfId="1" applyFont="1" applyFill="1" applyBorder="1" applyAlignment="1" applyProtection="1">
      <alignment horizontal="center" vertical="center"/>
    </xf>
    <xf numFmtId="9" fontId="20" fillId="6" borderId="199" xfId="1" applyFont="1" applyFill="1" applyBorder="1" applyAlignment="1" applyProtection="1">
      <alignment horizontal="center" vertical="center"/>
    </xf>
    <xf numFmtId="9" fontId="20" fillId="7" borderId="202" xfId="1" applyFont="1" applyFill="1" applyBorder="1" applyAlignment="1" applyProtection="1">
      <alignment horizontal="center" vertical="center"/>
    </xf>
    <xf numFmtId="4" fontId="11" fillId="4" borderId="257" xfId="0" applyNumberFormat="1" applyFont="1" applyFill="1" applyBorder="1" applyAlignment="1" applyProtection="1">
      <alignment horizontal="justify" vertical="center" wrapText="1"/>
      <protection locked="0"/>
    </xf>
    <xf numFmtId="0" fontId="20" fillId="0" borderId="192" xfId="0" applyFont="1" applyBorder="1" applyAlignment="1" applyProtection="1">
      <alignment horizontal="center" vertical="center"/>
      <protection locked="0"/>
    </xf>
    <xf numFmtId="9" fontId="20" fillId="7" borderId="30" xfId="1" applyFont="1" applyFill="1" applyBorder="1" applyAlignment="1" applyProtection="1">
      <alignment horizontal="center" vertical="center"/>
    </xf>
    <xf numFmtId="4" fontId="11" fillId="4" borderId="258" xfId="0" applyNumberFormat="1" applyFont="1" applyFill="1" applyBorder="1" applyAlignment="1" applyProtection="1">
      <alignment horizontal="justify" vertical="center" wrapText="1"/>
      <protection locked="0"/>
    </xf>
    <xf numFmtId="49" fontId="20" fillId="0" borderId="104" xfId="0" applyNumberFormat="1" applyFont="1" applyBorder="1" applyAlignment="1" applyProtection="1">
      <alignment horizontal="center" vertical="center"/>
      <protection locked="0"/>
    </xf>
    <xf numFmtId="4" fontId="11" fillId="4" borderId="256" xfId="0" applyNumberFormat="1" applyFont="1" applyFill="1" applyBorder="1" applyAlignment="1" applyProtection="1">
      <alignment horizontal="left" vertical="center" wrapText="1"/>
      <protection locked="0"/>
    </xf>
    <xf numFmtId="0" fontId="20" fillId="0" borderId="105" xfId="0" applyFont="1" applyBorder="1" applyAlignment="1" applyProtection="1">
      <alignment horizontal="center" vertical="center"/>
      <protection locked="0"/>
    </xf>
    <xf numFmtId="0" fontId="20" fillId="0" borderId="106" xfId="0" applyFont="1" applyBorder="1" applyAlignment="1" applyProtection="1">
      <alignment horizontal="center" vertical="center"/>
      <protection locked="0"/>
    </xf>
    <xf numFmtId="164" fontId="11" fillId="0" borderId="271" xfId="0" applyNumberFormat="1" applyFont="1" applyBorder="1" applyAlignment="1" applyProtection="1">
      <alignment horizontal="justify" vertical="center"/>
      <protection locked="0"/>
    </xf>
    <xf numFmtId="4" fontId="11" fillId="0" borderId="272" xfId="0" applyNumberFormat="1" applyFont="1" applyBorder="1" applyAlignment="1" applyProtection="1">
      <alignment horizontal="justify" vertical="center" wrapText="1"/>
      <protection locked="0"/>
    </xf>
    <xf numFmtId="4" fontId="20" fillId="0" borderId="273" xfId="0" applyNumberFormat="1" applyFont="1" applyBorder="1" applyAlignment="1" applyProtection="1">
      <alignment horizontal="justify" vertical="center" wrapText="1"/>
      <protection locked="0"/>
    </xf>
    <xf numFmtId="4" fontId="20" fillId="0" borderId="274" xfId="0" applyNumberFormat="1" applyFont="1" applyBorder="1" applyAlignment="1" applyProtection="1">
      <alignment horizontal="justify" vertical="center" wrapText="1"/>
      <protection locked="0"/>
    </xf>
    <xf numFmtId="4" fontId="20" fillId="0" borderId="275" xfId="0" applyNumberFormat="1" applyFont="1" applyBorder="1" applyAlignment="1" applyProtection="1">
      <alignment horizontal="justify" vertical="center" wrapText="1"/>
      <protection locked="0"/>
    </xf>
    <xf numFmtId="4" fontId="20" fillId="0" borderId="276" xfId="0" applyNumberFormat="1" applyFont="1" applyBorder="1" applyAlignment="1" applyProtection="1">
      <alignment horizontal="justify" vertical="center" wrapText="1"/>
      <protection locked="0"/>
    </xf>
    <xf numFmtId="4" fontId="20" fillId="0" borderId="277" xfId="0" applyNumberFormat="1" applyFont="1" applyBorder="1" applyAlignment="1" applyProtection="1">
      <alignment horizontal="justify" vertical="center" wrapText="1"/>
      <protection locked="0"/>
    </xf>
    <xf numFmtId="4" fontId="2" fillId="0" borderId="267" xfId="0" applyNumberFormat="1" applyFont="1" applyBorder="1" applyAlignment="1" applyProtection="1">
      <alignment horizontal="justify" vertical="center" wrapText="1"/>
      <protection locked="0"/>
    </xf>
    <xf numFmtId="4" fontId="2" fillId="0" borderId="259" xfId="0" applyNumberFormat="1" applyFont="1" applyBorder="1" applyAlignment="1" applyProtection="1">
      <alignment horizontal="justify" vertical="center" wrapText="1"/>
      <protection locked="0"/>
    </xf>
    <xf numFmtId="4" fontId="2" fillId="0" borderId="256" xfId="0" applyNumberFormat="1" applyFont="1" applyBorder="1" applyAlignment="1" applyProtection="1">
      <alignment horizontal="justify" vertical="center" wrapText="1"/>
      <protection locked="0"/>
    </xf>
    <xf numFmtId="4" fontId="2" fillId="0" borderId="278" xfId="0" applyNumberFormat="1" applyFont="1" applyBorder="1" applyAlignment="1" applyProtection="1">
      <alignment horizontal="justify" vertical="center" wrapText="1"/>
      <protection locked="0"/>
    </xf>
    <xf numFmtId="4" fontId="2" fillId="0" borderId="257" xfId="0" applyNumberFormat="1" applyFont="1" applyBorder="1" applyAlignment="1" applyProtection="1">
      <alignment horizontal="justify" vertical="center" wrapText="1"/>
      <protection locked="0"/>
    </xf>
    <xf numFmtId="4" fontId="2" fillId="0" borderId="266" xfId="0" applyNumberFormat="1" applyFont="1" applyBorder="1" applyAlignment="1" applyProtection="1">
      <alignment horizontal="justify" vertical="center" wrapText="1"/>
      <protection locked="0"/>
    </xf>
    <xf numFmtId="0" fontId="2" fillId="0" borderId="238" xfId="0" applyFont="1" applyBorder="1" applyAlignment="1" applyProtection="1">
      <alignment vertical="center" wrapText="1"/>
      <protection locked="0"/>
    </xf>
    <xf numFmtId="49" fontId="20" fillId="0" borderId="101" xfId="0" applyNumberFormat="1" applyFont="1" applyBorder="1" applyAlignment="1" applyProtection="1">
      <alignment horizontal="center" vertical="center"/>
      <protection locked="0"/>
    </xf>
    <xf numFmtId="4" fontId="20" fillId="0" borderId="279" xfId="0" applyNumberFormat="1" applyFont="1" applyBorder="1" applyAlignment="1" applyProtection="1">
      <alignment horizontal="justify" vertical="center" wrapText="1"/>
      <protection locked="0"/>
    </xf>
    <xf numFmtId="4" fontId="20" fillId="0" borderId="280" xfId="0" applyNumberFormat="1" applyFont="1" applyBorder="1" applyAlignment="1" applyProtection="1">
      <alignment horizontal="justify" vertical="center" wrapText="1"/>
      <protection locked="0"/>
    </xf>
    <xf numFmtId="4" fontId="20" fillId="0" borderId="281" xfId="0" applyNumberFormat="1" applyFont="1" applyBorder="1" applyAlignment="1" applyProtection="1">
      <alignment horizontal="justify" vertical="center" wrapText="1"/>
      <protection locked="0"/>
    </xf>
    <xf numFmtId="4" fontId="20" fillId="0" borderId="269" xfId="0" applyNumberFormat="1" applyFont="1" applyBorder="1" applyAlignment="1" applyProtection="1">
      <alignment horizontal="justify" vertical="center" wrapText="1"/>
      <protection locked="0"/>
    </xf>
    <xf numFmtId="4" fontId="20" fillId="0" borderId="270" xfId="0" applyNumberFormat="1" applyFont="1" applyBorder="1" applyAlignment="1" applyProtection="1">
      <alignment horizontal="justify" vertical="center"/>
      <protection locked="0"/>
    </xf>
    <xf numFmtId="4" fontId="11" fillId="0" borderId="269" xfId="0" applyNumberFormat="1" applyFont="1" applyBorder="1" applyAlignment="1" applyProtection="1">
      <alignment horizontal="justify" vertical="center" wrapText="1"/>
      <protection locked="0"/>
    </xf>
    <xf numFmtId="49" fontId="20" fillId="0" borderId="192" xfId="0" applyNumberFormat="1" applyFont="1" applyBorder="1" applyAlignment="1" applyProtection="1">
      <alignment horizontal="center" vertical="center"/>
      <protection locked="0"/>
    </xf>
    <xf numFmtId="9" fontId="20" fillId="6" borderId="246" xfId="1" applyFont="1" applyFill="1" applyBorder="1" applyAlignment="1" applyProtection="1">
      <alignment horizontal="center" vertical="center"/>
    </xf>
    <xf numFmtId="9" fontId="20" fillId="7" borderId="248" xfId="1" applyFont="1" applyFill="1" applyBorder="1" applyAlignment="1" applyProtection="1">
      <alignment horizontal="center" vertical="center"/>
    </xf>
    <xf numFmtId="4" fontId="11" fillId="0" borderId="282" xfId="0" applyNumberFormat="1" applyFont="1" applyBorder="1" applyAlignment="1" applyProtection="1">
      <alignment horizontal="justify" vertical="center" wrapText="1"/>
      <protection locked="0"/>
    </xf>
    <xf numFmtId="4" fontId="20" fillId="4" borderId="264" xfId="0" applyNumberFormat="1" applyFont="1" applyFill="1" applyBorder="1" applyAlignment="1" applyProtection="1">
      <alignment horizontal="center" vertical="center" wrapText="1"/>
      <protection locked="0"/>
    </xf>
    <xf numFmtId="9" fontId="20" fillId="9" borderId="195" xfId="1" applyFont="1" applyFill="1" applyBorder="1" applyAlignment="1" applyProtection="1">
      <alignment horizontal="center" vertical="center"/>
    </xf>
    <xf numFmtId="9" fontId="20" fillId="6" borderId="195" xfId="1" applyFont="1" applyFill="1" applyBorder="1" applyAlignment="1" applyProtection="1">
      <alignment horizontal="center" vertical="center"/>
    </xf>
    <xf numFmtId="4" fontId="2" fillId="4" borderId="229" xfId="0" applyNumberFormat="1" applyFont="1" applyFill="1" applyBorder="1" applyAlignment="1" applyProtection="1">
      <alignment horizontal="justify" vertical="center" wrapText="1"/>
      <protection locked="0"/>
    </xf>
    <xf numFmtId="4" fontId="2" fillId="0" borderId="276" xfId="0" applyNumberFormat="1" applyFont="1" applyBorder="1" applyAlignment="1" applyProtection="1">
      <alignment horizontal="justify" vertical="center" wrapText="1"/>
      <protection locked="0"/>
    </xf>
    <xf numFmtId="4" fontId="20" fillId="0" borderId="283"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center" vertical="center" wrapText="1"/>
      <protection locked="0"/>
    </xf>
    <xf numFmtId="4" fontId="11" fillId="0" borderId="264" xfId="0" applyNumberFormat="1" applyFont="1" applyBorder="1" applyAlignment="1" applyProtection="1">
      <alignment horizontal="center" vertical="center" wrapText="1"/>
      <protection locked="0"/>
    </xf>
    <xf numFmtId="4" fontId="20" fillId="4" borderId="271"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horizontal="justify" vertical="center" wrapText="1"/>
      <protection locked="0"/>
    </xf>
    <xf numFmtId="4" fontId="20" fillId="4" borderId="284"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vertical="center" wrapText="1"/>
      <protection locked="0"/>
    </xf>
    <xf numFmtId="4" fontId="20" fillId="4" borderId="285" xfId="0" applyNumberFormat="1" applyFont="1" applyFill="1" applyBorder="1" applyAlignment="1" applyProtection="1">
      <alignment horizontal="justify" vertical="center" wrapText="1"/>
      <protection locked="0"/>
    </xf>
    <xf numFmtId="4" fontId="20" fillId="4" borderId="269" xfId="0" applyNumberFormat="1" applyFont="1" applyFill="1" applyBorder="1" applyAlignment="1" applyProtection="1">
      <alignment horizontal="justify" vertical="center" wrapText="1"/>
      <protection locked="0"/>
    </xf>
    <xf numFmtId="4" fontId="11" fillId="0" borderId="286" xfId="0" applyNumberFormat="1" applyFont="1" applyBorder="1" applyAlignment="1" applyProtection="1">
      <alignment horizontal="justify" vertical="center" wrapText="1"/>
      <protection locked="0"/>
    </xf>
    <xf numFmtId="4" fontId="20" fillId="0" borderId="287" xfId="0" applyNumberFormat="1" applyFont="1" applyBorder="1" applyAlignment="1" applyProtection="1">
      <alignment horizontal="justify" vertical="center" wrapText="1"/>
      <protection locked="0"/>
    </xf>
    <xf numFmtId="4" fontId="20" fillId="0" borderId="286" xfId="0" applyNumberFormat="1" applyFont="1" applyBorder="1" applyAlignment="1" applyProtection="1">
      <alignment horizontal="justify" vertical="center" wrapText="1"/>
      <protection locked="0"/>
    </xf>
    <xf numFmtId="4" fontId="11" fillId="0" borderId="256" xfId="0" applyNumberFormat="1" applyFont="1" applyBorder="1" applyAlignment="1" applyProtection="1">
      <alignment horizontal="justify" vertical="center" wrapText="1"/>
      <protection locked="0"/>
    </xf>
    <xf numFmtId="4" fontId="11" fillId="0" borderId="259" xfId="0" applyNumberFormat="1" applyFont="1" applyBorder="1" applyAlignment="1" applyProtection="1">
      <alignment horizontal="justify" vertical="center" wrapText="1"/>
      <protection locked="0"/>
    </xf>
    <xf numFmtId="4" fontId="20" fillId="4" borderId="256" xfId="0" applyNumberFormat="1" applyFont="1" applyFill="1" applyBorder="1" applyAlignment="1" applyProtection="1">
      <alignment horizontal="justify" vertical="center" wrapText="1"/>
      <protection locked="0"/>
    </xf>
    <xf numFmtId="4" fontId="11" fillId="4" borderId="274" xfId="0" applyNumberFormat="1" applyFont="1" applyFill="1" applyBorder="1" applyAlignment="1" applyProtection="1">
      <alignment horizontal="justify" vertical="center" wrapText="1"/>
      <protection locked="0"/>
    </xf>
    <xf numFmtId="4" fontId="11" fillId="0" borderId="288"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justify" vertical="center" wrapText="1"/>
      <protection locked="0"/>
    </xf>
    <xf numFmtId="4" fontId="20" fillId="0" borderId="289"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wrapText="1"/>
      <protection locked="0"/>
    </xf>
    <xf numFmtId="4" fontId="20" fillId="0" borderId="291"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protection locked="0"/>
    </xf>
    <xf numFmtId="49" fontId="20" fillId="0" borderId="157" xfId="0" applyNumberFormat="1" applyFont="1" applyBorder="1" applyAlignment="1">
      <alignment horizontal="center" vertical="center"/>
    </xf>
    <xf numFmtId="0" fontId="2" fillId="0" borderId="245" xfId="0" applyFont="1" applyBorder="1" applyAlignment="1">
      <alignment vertical="center"/>
    </xf>
    <xf numFmtId="0" fontId="2" fillId="0" borderId="244" xfId="0" applyFont="1" applyBorder="1" applyAlignment="1">
      <alignment vertical="center"/>
    </xf>
    <xf numFmtId="4" fontId="5" fillId="0" borderId="96" xfId="1" applyNumberFormat="1" applyFont="1" applyFill="1" applyBorder="1" applyAlignment="1" applyProtection="1">
      <alignment horizontal="center" vertical="center" wrapText="1"/>
    </xf>
    <xf numFmtId="4" fontId="20" fillId="0" borderId="97" xfId="0" applyNumberFormat="1" applyFont="1" applyBorder="1" applyAlignment="1">
      <alignment horizontal="center" vertical="center" wrapText="1"/>
    </xf>
    <xf numFmtId="4" fontId="20" fillId="0" borderId="98" xfId="0" applyNumberFormat="1" applyFont="1" applyBorder="1" applyAlignment="1">
      <alignment horizontal="center" vertical="center" wrapText="1"/>
    </xf>
    <xf numFmtId="4" fontId="5" fillId="0" borderId="3" xfId="1" applyNumberFormat="1" applyFont="1" applyFill="1" applyBorder="1" applyAlignment="1" applyProtection="1">
      <alignment horizontal="center" vertical="center" wrapText="1"/>
    </xf>
    <xf numFmtId="4" fontId="20" fillId="0" borderId="43" xfId="0" applyNumberFormat="1" applyFont="1" applyBorder="1" applyAlignment="1">
      <alignment horizontal="center" vertical="center" wrapText="1"/>
    </xf>
    <xf numFmtId="4" fontId="20" fillId="0" borderId="44" xfId="0" applyNumberFormat="1" applyFont="1" applyBorder="1" applyAlignment="1">
      <alignment horizontal="center" vertical="center" wrapText="1"/>
    </xf>
    <xf numFmtId="4" fontId="20" fillId="0" borderId="45" xfId="0" applyNumberFormat="1" applyFont="1" applyBorder="1" applyAlignment="1">
      <alignment horizontal="center" vertical="center" wrapText="1"/>
    </xf>
    <xf numFmtId="4" fontId="20" fillId="0" borderId="46" xfId="0" applyNumberFormat="1" applyFont="1" applyBorder="1" applyAlignment="1">
      <alignment horizontal="center" vertical="center" wrapText="1"/>
    </xf>
    <xf numFmtId="4" fontId="20" fillId="0" borderId="47"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wrapText="1"/>
    </xf>
    <xf numFmtId="4" fontId="5" fillId="0" borderId="112" xfId="1" applyNumberFormat="1" applyFont="1" applyFill="1" applyBorder="1" applyAlignment="1" applyProtection="1">
      <alignment horizontal="center" vertical="center" wrapText="1"/>
    </xf>
    <xf numFmtId="4" fontId="20" fillId="0" borderId="143" xfId="0" applyNumberFormat="1" applyFont="1" applyBorder="1" applyAlignment="1">
      <alignment horizontal="center" vertical="center" wrapText="1"/>
    </xf>
    <xf numFmtId="4" fontId="20" fillId="0" borderId="195"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xf>
    <xf numFmtId="9" fontId="20" fillId="9" borderId="96" xfId="0" applyNumberFormat="1" applyFont="1" applyFill="1" applyBorder="1" applyAlignment="1">
      <alignment horizontal="center" vertical="center"/>
    </xf>
    <xf numFmtId="4" fontId="20" fillId="6" borderId="96" xfId="0" applyNumberFormat="1" applyFont="1" applyFill="1" applyBorder="1" applyAlignment="1">
      <alignment horizontal="center" vertical="center"/>
    </xf>
    <xf numFmtId="4" fontId="20" fillId="9" borderId="101" xfId="0" applyNumberFormat="1" applyFont="1" applyFill="1" applyBorder="1" applyAlignment="1">
      <alignment horizontal="center" vertical="center"/>
    </xf>
    <xf numFmtId="4" fontId="2" fillId="6" borderId="107" xfId="0" applyNumberFormat="1" applyFont="1" applyFill="1" applyBorder="1" applyAlignment="1">
      <alignment horizontal="center" vertical="center"/>
    </xf>
    <xf numFmtId="4" fontId="11" fillId="9" borderId="96" xfId="0" applyNumberFormat="1" applyFont="1" applyFill="1" applyBorder="1" applyAlignment="1">
      <alignment vertical="center" wrapText="1"/>
    </xf>
    <xf numFmtId="4" fontId="20" fillId="9" borderId="97" xfId="0" applyNumberFormat="1" applyFont="1" applyFill="1" applyBorder="1" applyAlignment="1">
      <alignment horizontal="center" vertical="center"/>
    </xf>
    <xf numFmtId="9" fontId="20" fillId="9" borderId="97" xfId="0" applyNumberFormat="1" applyFont="1" applyFill="1" applyBorder="1" applyAlignment="1">
      <alignment horizontal="center" vertical="center"/>
    </xf>
    <xf numFmtId="4" fontId="20" fillId="6" borderId="97" xfId="0" applyNumberFormat="1" applyFont="1" applyFill="1" applyBorder="1" applyAlignment="1">
      <alignment horizontal="center" vertical="center"/>
    </xf>
    <xf numFmtId="4" fontId="20" fillId="9" borderId="102" xfId="0" applyNumberFormat="1" applyFont="1" applyFill="1" applyBorder="1" applyAlignment="1">
      <alignment horizontal="center" vertical="center"/>
    </xf>
    <xf numFmtId="4" fontId="2" fillId="6" borderId="15" xfId="0" applyNumberFormat="1" applyFont="1" applyFill="1" applyBorder="1" applyAlignment="1">
      <alignment horizontal="center" vertical="center"/>
    </xf>
    <xf numFmtId="4" fontId="11" fillId="9" borderId="97" xfId="0" applyNumberFormat="1" applyFont="1" applyFill="1" applyBorder="1" applyAlignment="1">
      <alignment vertical="center" wrapText="1"/>
    </xf>
    <xf numFmtId="4" fontId="20" fillId="9" borderId="98" xfId="0" applyNumberFormat="1" applyFont="1" applyFill="1" applyBorder="1" applyAlignment="1">
      <alignment horizontal="center" vertical="center"/>
    </xf>
    <xf numFmtId="9" fontId="20" fillId="9" borderId="98" xfId="0" applyNumberFormat="1" applyFont="1" applyFill="1" applyBorder="1" applyAlignment="1">
      <alignment horizontal="center" vertical="center"/>
    </xf>
    <xf numFmtId="4" fontId="20" fillId="6" borderId="98" xfId="0" applyNumberFormat="1" applyFont="1" applyFill="1" applyBorder="1" applyAlignment="1">
      <alignment horizontal="center" vertical="center"/>
    </xf>
    <xf numFmtId="4" fontId="20" fillId="9" borderId="103" xfId="0" applyNumberFormat="1" applyFont="1" applyFill="1" applyBorder="1" applyAlignment="1">
      <alignment horizontal="center" vertical="center"/>
    </xf>
    <xf numFmtId="4" fontId="2" fillId="6" borderId="108" xfId="0" applyNumberFormat="1" applyFont="1" applyFill="1" applyBorder="1" applyAlignment="1">
      <alignment horizontal="center" vertical="center"/>
    </xf>
    <xf numFmtId="4" fontId="11" fillId="9" borderId="98" xfId="0" applyNumberFormat="1" applyFont="1" applyFill="1" applyBorder="1" applyAlignment="1">
      <alignment vertical="center" wrapText="1"/>
    </xf>
    <xf numFmtId="4" fontId="20" fillId="9" borderId="113" xfId="0" applyNumberFormat="1" applyFont="1" applyFill="1" applyBorder="1" applyAlignment="1">
      <alignment horizontal="center" vertical="center"/>
    </xf>
    <xf numFmtId="9" fontId="20" fillId="9" borderId="113" xfId="0" applyNumberFormat="1" applyFont="1" applyFill="1" applyBorder="1" applyAlignment="1">
      <alignment horizontal="center" vertical="center"/>
    </xf>
    <xf numFmtId="4" fontId="20" fillId="6" borderId="113" xfId="0" applyNumberFormat="1" applyFont="1" applyFill="1" applyBorder="1" applyAlignment="1">
      <alignment horizontal="center" vertical="center"/>
    </xf>
    <xf numFmtId="4" fontId="20" fillId="9" borderId="114" xfId="0" applyNumberFormat="1" applyFont="1" applyFill="1" applyBorder="1" applyAlignment="1">
      <alignment horizontal="center" vertical="center"/>
    </xf>
    <xf numFmtId="4" fontId="20" fillId="9" borderId="115" xfId="0" applyNumberFormat="1" applyFont="1" applyFill="1" applyBorder="1" applyAlignment="1">
      <alignment horizontal="center" vertical="center"/>
    </xf>
    <xf numFmtId="4" fontId="11" fillId="9" borderId="116" xfId="0" applyNumberFormat="1" applyFont="1" applyFill="1" applyBorder="1" applyAlignment="1">
      <alignment vertical="center" wrapText="1"/>
    </xf>
    <xf numFmtId="4" fontId="20" fillId="9" borderId="14" xfId="0" applyNumberFormat="1" applyFont="1" applyFill="1" applyBorder="1" applyAlignment="1">
      <alignment horizontal="center" vertical="center"/>
    </xf>
    <xf numFmtId="9" fontId="20" fillId="9" borderId="14" xfId="0" applyNumberFormat="1" applyFont="1" applyFill="1" applyBorder="1" applyAlignment="1">
      <alignment horizontal="center" vertical="center"/>
    </xf>
    <xf numFmtId="4" fontId="20" fillId="6" borderId="14" xfId="0" applyNumberFormat="1" applyFont="1" applyFill="1" applyBorder="1" applyAlignment="1">
      <alignment horizontal="center" vertical="center"/>
    </xf>
    <xf numFmtId="4" fontId="20" fillId="9" borderId="36" xfId="0" applyNumberFormat="1" applyFont="1" applyFill="1" applyBorder="1" applyAlignment="1">
      <alignment horizontal="center" vertical="center"/>
    </xf>
    <xf numFmtId="4" fontId="20" fillId="9" borderId="18" xfId="0" applyNumberFormat="1" applyFont="1" applyFill="1" applyBorder="1" applyAlignment="1">
      <alignment horizontal="center" vertical="center"/>
    </xf>
    <xf numFmtId="4" fontId="11" fillId="9" borderId="49" xfId="0" applyNumberFormat="1" applyFont="1" applyFill="1" applyBorder="1" applyAlignment="1">
      <alignment vertical="center" wrapText="1"/>
    </xf>
    <xf numFmtId="4" fontId="20" fillId="9" borderId="3" xfId="0" applyNumberFormat="1" applyFont="1" applyFill="1" applyBorder="1" applyAlignment="1">
      <alignment horizontal="center" vertical="center"/>
    </xf>
    <xf numFmtId="4" fontId="20" fillId="9" borderId="4" xfId="0" applyNumberFormat="1" applyFont="1" applyFill="1" applyBorder="1" applyAlignment="1">
      <alignment horizontal="center" vertical="center"/>
    </xf>
    <xf numFmtId="4" fontId="20" fillId="9" borderId="19" xfId="0" applyNumberFormat="1" applyFont="1" applyFill="1" applyBorder="1" applyAlignment="1">
      <alignment horizontal="center" vertical="center"/>
    </xf>
    <xf numFmtId="4" fontId="20" fillId="9" borderId="37" xfId="0" applyNumberFormat="1" applyFont="1" applyFill="1" applyBorder="1" applyAlignment="1">
      <alignment horizontal="center" vertical="center"/>
    </xf>
    <xf numFmtId="4" fontId="20" fillId="9" borderId="38" xfId="0" applyNumberFormat="1" applyFont="1" applyFill="1" applyBorder="1" applyAlignment="1">
      <alignment horizontal="center" vertical="center"/>
    </xf>
    <xf numFmtId="4" fontId="20" fillId="9" borderId="11" xfId="0" applyNumberFormat="1" applyFont="1" applyFill="1" applyBorder="1" applyAlignment="1">
      <alignment horizontal="center" vertical="center"/>
    </xf>
    <xf numFmtId="4" fontId="20" fillId="9" borderId="13" xfId="0" applyNumberFormat="1" applyFont="1" applyFill="1" applyBorder="1" applyAlignment="1">
      <alignment horizontal="center" vertical="center"/>
    </xf>
    <xf numFmtId="4" fontId="11" fillId="9" borderId="50" xfId="0" applyNumberFormat="1" applyFont="1" applyFill="1" applyBorder="1" applyAlignment="1">
      <alignment vertical="center" wrapText="1"/>
    </xf>
    <xf numFmtId="4" fontId="11" fillId="9" borderId="51" xfId="0" applyNumberFormat="1" applyFont="1" applyFill="1" applyBorder="1" applyAlignment="1">
      <alignment vertical="center" wrapText="1"/>
    </xf>
    <xf numFmtId="4" fontId="11" fillId="9" borderId="48" xfId="0" applyNumberFormat="1" applyFont="1" applyFill="1" applyBorder="1" applyAlignment="1">
      <alignment vertical="center" wrapText="1"/>
    </xf>
    <xf numFmtId="4" fontId="20" fillId="9" borderId="118" xfId="0" applyNumberFormat="1" applyFont="1" applyFill="1" applyBorder="1" applyAlignment="1">
      <alignment horizontal="center" vertical="center"/>
    </xf>
    <xf numFmtId="9" fontId="20" fillId="9" borderId="119" xfId="0" applyNumberFormat="1" applyFont="1" applyFill="1" applyBorder="1" applyAlignment="1">
      <alignment horizontal="center" vertical="center"/>
    </xf>
    <xf numFmtId="4" fontId="20" fillId="6" borderId="119" xfId="0" applyNumberFormat="1" applyFont="1" applyFill="1" applyBorder="1" applyAlignment="1">
      <alignment horizontal="center" vertical="center"/>
    </xf>
    <xf numFmtId="4" fontId="20" fillId="9" borderId="119" xfId="0" applyNumberFormat="1" applyFont="1" applyFill="1" applyBorder="1" applyAlignment="1">
      <alignment horizontal="center" vertical="center"/>
    </xf>
    <xf numFmtId="4" fontId="20" fillId="9" borderId="120" xfId="0" applyNumberFormat="1" applyFont="1" applyFill="1" applyBorder="1" applyAlignment="1">
      <alignment horizontal="center" vertical="center"/>
    </xf>
    <xf numFmtId="4" fontId="20" fillId="9" borderId="121" xfId="0" applyNumberFormat="1" applyFont="1" applyFill="1" applyBorder="1" applyAlignment="1">
      <alignment horizontal="center" vertical="center"/>
    </xf>
    <xf numFmtId="4" fontId="11" fillId="9" borderId="122" xfId="0" applyNumberFormat="1" applyFont="1" applyFill="1" applyBorder="1" applyAlignment="1">
      <alignment vertical="center" wrapText="1"/>
    </xf>
    <xf numFmtId="4" fontId="11" fillId="9" borderId="125" xfId="0" applyNumberFormat="1" applyFont="1" applyFill="1" applyBorder="1" applyAlignment="1">
      <alignment vertical="center" wrapText="1"/>
    </xf>
    <xf numFmtId="4" fontId="11" fillId="9" borderId="52" xfId="0" applyNumberFormat="1" applyFont="1" applyFill="1" applyBorder="1" applyAlignment="1">
      <alignment vertical="center" wrapText="1"/>
    </xf>
    <xf numFmtId="4" fontId="11" fillId="9" borderId="0" xfId="0" applyNumberFormat="1" applyFont="1" applyFill="1" applyAlignment="1">
      <alignment vertical="center" wrapText="1"/>
    </xf>
    <xf numFmtId="4" fontId="11" fillId="9" borderId="53" xfId="0" applyNumberFormat="1" applyFont="1" applyFill="1" applyBorder="1" applyAlignment="1">
      <alignment vertical="center" wrapText="1"/>
    </xf>
    <xf numFmtId="4" fontId="11" fillId="9" borderId="127" xfId="0" applyNumberFormat="1" applyFont="1" applyFill="1" applyBorder="1" applyAlignment="1">
      <alignment vertical="center" wrapText="1"/>
    </xf>
    <xf numFmtId="4" fontId="11" fillId="9" borderId="175" xfId="0" applyNumberFormat="1" applyFont="1" applyFill="1" applyBorder="1" applyAlignment="1">
      <alignment vertical="center" wrapText="1"/>
    </xf>
    <xf numFmtId="4" fontId="11" fillId="9" borderId="176" xfId="0" applyNumberFormat="1" applyFont="1" applyFill="1" applyBorder="1" applyAlignment="1">
      <alignment vertical="center" wrapText="1"/>
    </xf>
    <xf numFmtId="4" fontId="11" fillId="9" borderId="124" xfId="0" applyNumberFormat="1" applyFont="1" applyFill="1" applyBorder="1" applyAlignment="1">
      <alignment vertical="center" wrapText="1"/>
    </xf>
    <xf numFmtId="4" fontId="11" fillId="9" borderId="41" xfId="0" applyNumberFormat="1" applyFont="1" applyFill="1" applyBorder="1" applyAlignment="1">
      <alignment vertical="center" wrapText="1"/>
    </xf>
    <xf numFmtId="4" fontId="11" fillId="9" borderId="126" xfId="0" applyNumberFormat="1" applyFont="1" applyFill="1" applyBorder="1" applyAlignment="1">
      <alignment vertical="center" wrapText="1"/>
    </xf>
    <xf numFmtId="4" fontId="2" fillId="6" borderId="39" xfId="0" applyNumberFormat="1" applyFont="1" applyFill="1" applyBorder="1" applyAlignment="1">
      <alignment horizontal="center" vertical="center"/>
    </xf>
    <xf numFmtId="4" fontId="20" fillId="9" borderId="129" xfId="0" applyNumberFormat="1" applyFont="1" applyFill="1" applyBorder="1" applyAlignment="1">
      <alignment horizontal="center" vertical="center"/>
    </xf>
    <xf numFmtId="9" fontId="20" fillId="9" borderId="3" xfId="0" applyNumberFormat="1" applyFont="1" applyFill="1" applyBorder="1" applyAlignment="1">
      <alignment horizontal="center" vertical="center"/>
    </xf>
    <xf numFmtId="4" fontId="20" fillId="6" borderId="3" xfId="0" applyNumberFormat="1" applyFont="1" applyFill="1" applyBorder="1" applyAlignment="1">
      <alignment horizontal="center" vertical="center"/>
    </xf>
    <xf numFmtId="4" fontId="11" fillId="9" borderId="193" xfId="0" applyNumberFormat="1" applyFont="1" applyFill="1" applyBorder="1" applyAlignment="1">
      <alignment vertical="center" wrapText="1"/>
    </xf>
    <xf numFmtId="4" fontId="11" fillId="9" borderId="194" xfId="0" applyNumberFormat="1" applyFont="1" applyFill="1" applyBorder="1" applyAlignment="1">
      <alignment vertical="center" wrapText="1"/>
    </xf>
    <xf numFmtId="4" fontId="11" fillId="9" borderId="131" xfId="0" applyNumberFormat="1" applyFont="1" applyFill="1" applyBorder="1" applyAlignment="1">
      <alignment vertical="center" wrapText="1"/>
    </xf>
    <xf numFmtId="4" fontId="11" fillId="9" borderId="130" xfId="0" applyNumberFormat="1" applyFont="1" applyFill="1" applyBorder="1" applyAlignment="1">
      <alignment vertical="center" wrapText="1"/>
    </xf>
    <xf numFmtId="4" fontId="20" fillId="9" borderId="199" xfId="0" applyNumberFormat="1" applyFont="1" applyFill="1" applyBorder="1" applyAlignment="1">
      <alignment horizontal="center" vertical="center"/>
    </xf>
    <xf numFmtId="9" fontId="20" fillId="9" borderId="199" xfId="0" applyNumberFormat="1" applyFont="1" applyFill="1" applyBorder="1" applyAlignment="1">
      <alignment horizontal="center" vertical="center"/>
    </xf>
    <xf numFmtId="4" fontId="20" fillId="6" borderId="199" xfId="0" applyNumberFormat="1" applyFont="1" applyFill="1" applyBorder="1" applyAlignment="1">
      <alignment horizontal="center" vertical="center"/>
    </xf>
    <xf numFmtId="4" fontId="20" fillId="9" borderId="200" xfId="0" applyNumberFormat="1" applyFont="1" applyFill="1" applyBorder="1" applyAlignment="1">
      <alignment horizontal="center" vertical="center"/>
    </xf>
    <xf numFmtId="4" fontId="20" fillId="9" borderId="201" xfId="0" applyNumberFormat="1" applyFont="1" applyFill="1" applyBorder="1" applyAlignment="1">
      <alignment horizontal="center" vertical="center"/>
    </xf>
    <xf numFmtId="4" fontId="2" fillId="6" borderId="202" xfId="0" applyNumberFormat="1" applyFont="1" applyFill="1" applyBorder="1" applyAlignment="1">
      <alignment horizontal="center" vertical="center"/>
    </xf>
    <xf numFmtId="4" fontId="11" fillId="9" borderId="232" xfId="0" applyNumberFormat="1" applyFont="1" applyFill="1" applyBorder="1" applyAlignment="1">
      <alignment vertical="center" wrapText="1"/>
    </xf>
    <xf numFmtId="4" fontId="2" fillId="6" borderId="30" xfId="0" applyNumberFormat="1" applyFont="1" applyFill="1" applyBorder="1" applyAlignment="1">
      <alignment horizontal="center" vertical="center"/>
    </xf>
    <xf numFmtId="4" fontId="11" fillId="9" borderId="102" xfId="0" applyNumberFormat="1" applyFont="1" applyFill="1" applyBorder="1" applyAlignment="1">
      <alignment vertical="center" wrapText="1"/>
    </xf>
    <xf numFmtId="4" fontId="11" fillId="9" borderId="109" xfId="0" applyNumberFormat="1" applyFont="1" applyFill="1" applyBorder="1" applyAlignment="1">
      <alignment vertical="center" wrapText="1"/>
    </xf>
    <xf numFmtId="4" fontId="20" fillId="9" borderId="153" xfId="0" applyNumberFormat="1" applyFont="1" applyFill="1" applyBorder="1" applyAlignment="1">
      <alignment horizontal="center" vertical="center"/>
    </xf>
    <xf numFmtId="4" fontId="20" fillId="9" borderId="17" xfId="0" applyNumberFormat="1" applyFont="1" applyFill="1" applyBorder="1" applyAlignment="1">
      <alignment horizontal="center" vertical="center"/>
    </xf>
    <xf numFmtId="4" fontId="20" fillId="9" borderId="0" xfId="0" applyNumberFormat="1" applyFont="1" applyFill="1" applyAlignment="1">
      <alignment horizontal="center" vertical="center"/>
    </xf>
    <xf numFmtId="4" fontId="20" fillId="9" borderId="16" xfId="0" applyNumberFormat="1" applyFont="1" applyFill="1" applyBorder="1" applyAlignment="1">
      <alignment horizontal="center" vertical="center"/>
    </xf>
    <xf numFmtId="4" fontId="20" fillId="9" borderId="130" xfId="0" applyNumberFormat="1" applyFont="1" applyFill="1" applyBorder="1" applyAlignment="1">
      <alignment horizontal="center" vertical="center"/>
    </xf>
    <xf numFmtId="4" fontId="20" fillId="9" borderId="113" xfId="0" applyNumberFormat="1" applyFont="1" applyFill="1" applyBorder="1" applyAlignment="1">
      <alignment horizontal="center" vertical="center" wrapText="1"/>
    </xf>
    <xf numFmtId="4" fontId="20" fillId="9" borderId="14" xfId="0" applyNumberFormat="1" applyFont="1" applyFill="1" applyBorder="1" applyAlignment="1">
      <alignment horizontal="center" vertical="center" wrapText="1"/>
    </xf>
    <xf numFmtId="4" fontId="20" fillId="9" borderId="209" xfId="0" applyNumberFormat="1" applyFont="1" applyFill="1" applyBorder="1" applyAlignment="1">
      <alignment horizontal="center" vertical="center"/>
    </xf>
    <xf numFmtId="4" fontId="20" fillId="9" borderId="212" xfId="0" applyNumberFormat="1" applyFont="1" applyFill="1" applyBorder="1" applyAlignment="1">
      <alignment horizontal="center" vertical="center"/>
    </xf>
    <xf numFmtId="4" fontId="20" fillId="9" borderId="104" xfId="0" applyNumberFormat="1" applyFont="1" applyFill="1" applyBorder="1" applyAlignment="1">
      <alignment horizontal="center" vertical="center"/>
    </xf>
    <xf numFmtId="4" fontId="20" fillId="9" borderId="105" xfId="0" applyNumberFormat="1" applyFont="1" applyFill="1" applyBorder="1" applyAlignment="1">
      <alignment horizontal="center" vertical="center"/>
    </xf>
    <xf numFmtId="4" fontId="11" fillId="9" borderId="215" xfId="0" applyNumberFormat="1" applyFont="1" applyFill="1" applyBorder="1" applyAlignment="1">
      <alignment vertical="center" wrapText="1"/>
    </xf>
    <xf numFmtId="4" fontId="11" fillId="9" borderId="216" xfId="0" applyNumberFormat="1" applyFont="1" applyFill="1" applyBorder="1" applyAlignment="1">
      <alignment vertical="center" wrapText="1"/>
    </xf>
    <xf numFmtId="4" fontId="20" fillId="9" borderId="158" xfId="0" applyNumberFormat="1" applyFont="1" applyFill="1" applyBorder="1" applyAlignment="1">
      <alignment horizontal="center" vertical="center"/>
    </xf>
    <xf numFmtId="4" fontId="11" fillId="9" borderId="219" xfId="0" applyNumberFormat="1" applyFont="1" applyFill="1" applyBorder="1" applyAlignment="1">
      <alignment vertical="center" wrapText="1"/>
    </xf>
    <xf numFmtId="4" fontId="20" fillId="9" borderId="246" xfId="0" applyNumberFormat="1" applyFont="1" applyFill="1" applyBorder="1" applyAlignment="1">
      <alignment horizontal="center" vertical="center"/>
    </xf>
    <xf numFmtId="9" fontId="20" fillId="9" borderId="246" xfId="0" applyNumberFormat="1" applyFont="1" applyFill="1" applyBorder="1" applyAlignment="1">
      <alignment horizontal="center" vertical="center"/>
    </xf>
    <xf numFmtId="4" fontId="20" fillId="6" borderId="246" xfId="0" applyNumberFormat="1" applyFont="1" applyFill="1" applyBorder="1" applyAlignment="1">
      <alignment horizontal="center" vertical="center"/>
    </xf>
    <xf numFmtId="4" fontId="20" fillId="9" borderId="247" xfId="0" applyNumberFormat="1" applyFont="1" applyFill="1" applyBorder="1" applyAlignment="1">
      <alignment horizontal="center" vertical="center"/>
    </xf>
    <xf numFmtId="4" fontId="2" fillId="6" borderId="248" xfId="0" applyNumberFormat="1" applyFont="1" applyFill="1" applyBorder="1" applyAlignment="1">
      <alignment horizontal="center" vertical="center"/>
    </xf>
    <xf numFmtId="4" fontId="11" fillId="9" borderId="251" xfId="0" applyNumberFormat="1" applyFont="1" applyFill="1" applyBorder="1" applyAlignment="1">
      <alignment vertical="center" wrapText="1"/>
    </xf>
    <xf numFmtId="4" fontId="20" fillId="9" borderId="195" xfId="0" applyNumberFormat="1" applyFont="1" applyFill="1" applyBorder="1" applyAlignment="1">
      <alignment horizontal="center" vertical="center"/>
    </xf>
    <xf numFmtId="9" fontId="20" fillId="9" borderId="195" xfId="0" applyNumberFormat="1" applyFont="1" applyFill="1" applyBorder="1" applyAlignment="1">
      <alignment horizontal="center" vertical="center"/>
    </xf>
    <xf numFmtId="4" fontId="20" fillId="6" borderId="195" xfId="0" applyNumberFormat="1" applyFont="1" applyFill="1" applyBorder="1" applyAlignment="1">
      <alignment horizontal="center" vertical="center"/>
    </xf>
    <xf numFmtId="4" fontId="20" fillId="9" borderId="218" xfId="0" applyNumberFormat="1" applyFont="1" applyFill="1" applyBorder="1" applyAlignment="1">
      <alignment horizontal="center" vertical="center"/>
    </xf>
    <xf numFmtId="4" fontId="11" fillId="9" borderId="195" xfId="0" applyNumberFormat="1" applyFont="1" applyFill="1" applyBorder="1" applyAlignment="1">
      <alignment vertical="center" wrapText="1"/>
    </xf>
    <xf numFmtId="4" fontId="11" fillId="9" borderId="236" xfId="0" applyNumberFormat="1" applyFont="1" applyFill="1" applyBorder="1" applyAlignment="1">
      <alignment vertical="center" wrapText="1"/>
    </xf>
    <xf numFmtId="4" fontId="20" fillId="0" borderId="154" xfId="0" applyNumberFormat="1" applyFont="1" applyBorder="1" applyAlignment="1">
      <alignment horizontal="justify" vertical="center" wrapText="1"/>
    </xf>
    <xf numFmtId="4" fontId="20" fillId="0" borderId="1" xfId="0" applyNumberFormat="1" applyFont="1" applyBorder="1" applyAlignment="1">
      <alignment horizontal="justify" vertical="center" wrapText="1"/>
    </xf>
    <xf numFmtId="4" fontId="20" fillId="0" borderId="1" xfId="0" applyNumberFormat="1" applyFont="1" applyBorder="1" applyAlignment="1">
      <alignment horizontal="justify" vertical="center"/>
    </xf>
    <xf numFmtId="4" fontId="20" fillId="0" borderId="97" xfId="0" applyNumberFormat="1" applyFont="1" applyBorder="1" applyAlignment="1">
      <alignment horizontal="justify" vertical="center"/>
    </xf>
    <xf numFmtId="4" fontId="20" fillId="0" borderId="195" xfId="0" applyNumberFormat="1" applyFont="1" applyBorder="1" applyAlignment="1">
      <alignment horizontal="justify" vertical="center"/>
    </xf>
    <xf numFmtId="4" fontId="20" fillId="0" borderId="117" xfId="0" applyNumberFormat="1" applyFont="1" applyBorder="1" applyAlignment="1">
      <alignment horizontal="justify" vertical="center"/>
    </xf>
    <xf numFmtId="4" fontId="20" fillId="0" borderId="177" xfId="0" applyNumberFormat="1" applyFont="1" applyBorder="1" applyAlignment="1">
      <alignment horizontal="justify" vertical="center" wrapText="1"/>
    </xf>
    <xf numFmtId="0" fontId="11" fillId="0" borderId="257" xfId="0" applyFont="1" applyBorder="1" applyAlignment="1" applyProtection="1">
      <alignment vertical="center" wrapText="1"/>
      <protection locked="0"/>
    </xf>
    <xf numFmtId="0" fontId="11" fillId="0" borderId="256" xfId="0" applyFont="1" applyBorder="1" applyAlignment="1" applyProtection="1">
      <alignment horizontal="center" vertical="center" wrapText="1"/>
      <protection locked="0"/>
    </xf>
    <xf numFmtId="0" fontId="11" fillId="0" borderId="257" xfId="0" applyFont="1" applyBorder="1" applyAlignment="1" applyProtection="1">
      <alignment horizontal="justify" vertical="center" wrapText="1"/>
      <protection locked="0"/>
    </xf>
    <xf numFmtId="0" fontId="11" fillId="0" borderId="270" xfId="0" applyFont="1" applyBorder="1" applyAlignment="1" applyProtection="1">
      <alignment vertical="center" wrapText="1"/>
      <protection locked="0"/>
    </xf>
    <xf numFmtId="0" fontId="20" fillId="4" borderId="257" xfId="0" applyFont="1" applyFill="1" applyBorder="1" applyAlignment="1" applyProtection="1">
      <alignment vertical="center" wrapText="1"/>
      <protection locked="0"/>
    </xf>
    <xf numFmtId="0" fontId="20" fillId="0" borderId="256" xfId="0" applyFont="1" applyBorder="1" applyAlignment="1" applyProtection="1">
      <alignment horizontal="left" vertical="center" wrapText="1"/>
      <protection locked="0"/>
    </xf>
    <xf numFmtId="0" fontId="20" fillId="4" borderId="257" xfId="0" applyFont="1" applyFill="1" applyBorder="1" applyAlignment="1" applyProtection="1">
      <alignment horizontal="left" vertical="center" wrapText="1"/>
      <protection locked="0"/>
    </xf>
    <xf numFmtId="0" fontId="20" fillId="4" borderId="273" xfId="0" applyFont="1" applyFill="1" applyBorder="1" applyAlignment="1" applyProtection="1">
      <alignment vertical="center" wrapText="1"/>
      <protection locked="0"/>
    </xf>
    <xf numFmtId="0" fontId="20" fillId="4" borderId="256" xfId="0" applyFont="1" applyFill="1" applyBorder="1" applyAlignment="1" applyProtection="1">
      <alignment wrapText="1"/>
      <protection locked="0"/>
    </xf>
    <xf numFmtId="0" fontId="20" fillId="4" borderId="257" xfId="0" applyFont="1" applyFill="1" applyBorder="1" applyAlignment="1" applyProtection="1">
      <alignment wrapText="1"/>
      <protection locked="0"/>
    </xf>
    <xf numFmtId="4" fontId="20" fillId="0" borderId="237" xfId="0" applyNumberFormat="1" applyFont="1" applyBorder="1" applyAlignment="1" applyProtection="1">
      <alignment horizontal="justify" vertical="center" wrapText="1"/>
      <protection locked="0"/>
    </xf>
    <xf numFmtId="4" fontId="20" fillId="0" borderId="1" xfId="0" applyNumberFormat="1" applyFont="1" applyBorder="1" applyAlignment="1" applyProtection="1">
      <alignment horizontal="justify" vertical="center" wrapText="1"/>
      <protection locked="0"/>
    </xf>
    <xf numFmtId="4" fontId="20" fillId="0" borderId="117" xfId="0" applyNumberFormat="1" applyFont="1" applyBorder="1" applyAlignment="1" applyProtection="1">
      <alignment horizontal="justify" vertical="center"/>
      <protection locked="0"/>
    </xf>
    <xf numFmtId="4" fontId="20" fillId="0" borderId="155" xfId="0" applyNumberFormat="1" applyFont="1" applyBorder="1" applyAlignment="1" applyProtection="1">
      <alignment horizontal="justify" vertical="center"/>
      <protection locked="0"/>
    </xf>
    <xf numFmtId="4" fontId="20" fillId="0" borderId="1" xfId="0" applyNumberFormat="1" applyFont="1" applyBorder="1" applyAlignment="1" applyProtection="1">
      <alignment horizontal="justify" vertical="center"/>
      <protection locked="0"/>
    </xf>
    <xf numFmtId="4" fontId="20" fillId="0" borderId="97" xfId="0" applyNumberFormat="1" applyFont="1" applyBorder="1" applyAlignment="1" applyProtection="1">
      <alignment horizontal="justify" vertical="center"/>
      <protection locked="0"/>
    </xf>
    <xf numFmtId="4" fontId="20" fillId="0" borderId="98" xfId="0" applyNumberFormat="1" applyFont="1" applyBorder="1" applyAlignment="1" applyProtection="1">
      <alignment horizontal="justify" vertical="center"/>
      <protection locked="0"/>
    </xf>
    <xf numFmtId="0" fontId="2" fillId="0" borderId="0" xfId="0" applyFont="1" applyAlignment="1" applyProtection="1">
      <alignment vertical="center" wrapText="1"/>
      <protection locked="0"/>
    </xf>
    <xf numFmtId="4" fontId="20" fillId="0" borderId="155" xfId="0" applyNumberFormat="1" applyFont="1" applyBorder="1" applyAlignment="1" applyProtection="1">
      <alignment horizontal="justify" vertical="center" wrapText="1"/>
      <protection locked="0"/>
    </xf>
    <xf numFmtId="4" fontId="20" fillId="0" borderId="38" xfId="0" applyNumberFormat="1" applyFont="1" applyBorder="1" applyAlignment="1" applyProtection="1">
      <alignment horizontal="justify" vertical="center"/>
      <protection locked="0"/>
    </xf>
    <xf numFmtId="4" fontId="11" fillId="0" borderId="162" xfId="0" applyNumberFormat="1" applyFont="1" applyBorder="1" applyAlignment="1" applyProtection="1">
      <alignment horizontal="justify" vertical="center" wrapText="1"/>
      <protection locked="0"/>
    </xf>
    <xf numFmtId="4" fontId="11" fillId="4" borderId="154" xfId="0" applyNumberFormat="1" applyFont="1" applyFill="1" applyBorder="1" applyAlignment="1" applyProtection="1">
      <alignment horizontal="justify" vertical="center" wrapText="1"/>
      <protection locked="0"/>
    </xf>
    <xf numFmtId="4" fontId="11" fillId="4" borderId="1" xfId="0" applyNumberFormat="1" applyFont="1" applyFill="1" applyBorder="1" applyAlignment="1" applyProtection="1">
      <alignment horizontal="justify" vertical="center" wrapText="1"/>
      <protection locked="0"/>
    </xf>
    <xf numFmtId="4" fontId="11" fillId="0" borderId="156" xfId="0" applyNumberFormat="1" applyFont="1" applyBorder="1" applyAlignment="1" applyProtection="1">
      <alignment horizontal="justify" vertical="center" wrapText="1"/>
      <protection locked="0"/>
    </xf>
    <xf numFmtId="4" fontId="20" fillId="0" borderId="96" xfId="0" applyNumberFormat="1" applyFont="1" applyBorder="1" applyAlignment="1" applyProtection="1">
      <alignment horizontal="justify" vertical="center" wrapText="1"/>
      <protection locked="0"/>
    </xf>
    <xf numFmtId="4" fontId="20" fillId="0" borderId="97" xfId="0" applyNumberFormat="1" applyFont="1" applyBorder="1" applyAlignment="1" applyProtection="1">
      <alignment horizontal="justify" vertical="center" wrapText="1"/>
      <protection locked="0"/>
    </xf>
    <xf numFmtId="0" fontId="2" fillId="4" borderId="131" xfId="0" applyFont="1" applyFill="1" applyBorder="1" applyAlignment="1" applyProtection="1">
      <alignment vertical="center" wrapText="1"/>
      <protection locked="0"/>
    </xf>
    <xf numFmtId="4" fontId="20" fillId="4" borderId="1" xfId="0" applyNumberFormat="1" applyFont="1" applyFill="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wrapText="1"/>
      <protection locked="0"/>
    </xf>
    <xf numFmtId="0" fontId="20" fillId="4" borderId="1" xfId="0" applyFont="1" applyFill="1" applyBorder="1" applyAlignment="1" applyProtection="1">
      <alignment horizontal="left" vertical="center" wrapText="1"/>
      <protection locked="0"/>
    </xf>
    <xf numFmtId="4" fontId="20" fillId="4" borderId="110" xfId="0" applyNumberFormat="1" applyFont="1" applyFill="1" applyBorder="1" applyAlignment="1" applyProtection="1">
      <alignment horizontal="justify" vertical="center" wrapText="1"/>
      <protection locked="0"/>
    </xf>
    <xf numFmtId="4" fontId="20" fillId="0" borderId="156" xfId="0" applyNumberFormat="1" applyFont="1" applyBorder="1" applyAlignment="1" applyProtection="1">
      <alignment horizontal="justify" vertical="center" wrapText="1"/>
      <protection locked="0"/>
    </xf>
    <xf numFmtId="4" fontId="20" fillId="0" borderId="110" xfId="0" applyNumberFormat="1" applyFont="1" applyBorder="1" applyAlignment="1" applyProtection="1">
      <alignment horizontal="justify" vertical="center" wrapText="1"/>
      <protection locked="0"/>
    </xf>
    <xf numFmtId="0" fontId="11" fillId="4" borderId="131" xfId="0" applyFont="1" applyFill="1" applyBorder="1" applyAlignment="1" applyProtection="1">
      <alignment horizontal="left" vertical="center" wrapText="1"/>
      <protection locked="0"/>
    </xf>
    <xf numFmtId="0" fontId="11" fillId="4" borderId="189" xfId="0" applyFont="1" applyFill="1" applyBorder="1" applyAlignment="1" applyProtection="1">
      <alignment horizontal="left" vertical="center" wrapText="1"/>
      <protection locked="0"/>
    </xf>
    <xf numFmtId="4" fontId="11" fillId="0" borderId="188" xfId="0" applyNumberFormat="1" applyFont="1" applyBorder="1" applyAlignment="1" applyProtection="1">
      <alignment horizontal="left" vertical="center" wrapText="1"/>
      <protection locked="0"/>
    </xf>
    <xf numFmtId="4" fontId="11" fillId="4" borderId="190" xfId="0" applyNumberFormat="1"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wrapText="1"/>
      <protection locked="0"/>
    </xf>
    <xf numFmtId="4" fontId="11" fillId="4" borderId="112" xfId="0" applyNumberFormat="1" applyFont="1" applyFill="1" applyBorder="1" applyAlignment="1" applyProtection="1">
      <alignment horizontal="left" vertical="center" wrapText="1"/>
      <protection locked="0"/>
    </xf>
    <xf numFmtId="4" fontId="11" fillId="4" borderId="191" xfId="0" applyNumberFormat="1" applyFont="1" applyFill="1" applyBorder="1" applyAlignment="1" applyProtection="1">
      <alignment horizontal="left" vertical="center" wrapText="1"/>
      <protection locked="0"/>
    </xf>
    <xf numFmtId="0" fontId="11" fillId="4" borderId="191" xfId="0"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protection locked="0"/>
    </xf>
    <xf numFmtId="4" fontId="20" fillId="0" borderId="128" xfId="0" applyNumberFormat="1" applyFont="1" applyBorder="1" applyAlignment="1" applyProtection="1">
      <alignment horizontal="justify" vertical="center"/>
      <protection locked="0"/>
    </xf>
    <xf numFmtId="4" fontId="11" fillId="0" borderId="110" xfId="0" applyNumberFormat="1" applyFont="1" applyBorder="1" applyAlignment="1" applyProtection="1">
      <alignment horizontal="left" vertical="center" wrapText="1"/>
      <protection locked="0"/>
    </xf>
    <xf numFmtId="0" fontId="11" fillId="0" borderId="189"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wrapText="1"/>
      <protection locked="0"/>
    </xf>
    <xf numFmtId="0" fontId="11" fillId="0" borderId="198" xfId="0" applyFont="1" applyBorder="1" applyAlignment="1" applyProtection="1">
      <alignment horizontal="left" vertical="center" wrapText="1"/>
      <protection locked="0"/>
    </xf>
    <xf numFmtId="0" fontId="11" fillId="4" borderId="96" xfId="0" applyFont="1" applyFill="1" applyBorder="1" applyAlignment="1" applyProtection="1">
      <alignment horizontal="left" vertical="center" wrapText="1"/>
      <protection locked="0"/>
    </xf>
    <xf numFmtId="0" fontId="11" fillId="4" borderId="97" xfId="0" applyFont="1" applyFill="1" applyBorder="1" applyAlignment="1" applyProtection="1">
      <alignment horizontal="left" vertical="center" wrapText="1"/>
      <protection locked="0"/>
    </xf>
    <xf numFmtId="0" fontId="11" fillId="4" borderId="195" xfId="0" applyFont="1" applyFill="1" applyBorder="1" applyAlignment="1" applyProtection="1">
      <alignment horizontal="left" vertical="center" wrapText="1"/>
      <protection locked="0"/>
    </xf>
    <xf numFmtId="0" fontId="11" fillId="0" borderId="96"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justify" vertical="center"/>
      <protection locked="0"/>
    </xf>
    <xf numFmtId="4" fontId="11" fillId="0" borderId="154" xfId="0" applyNumberFormat="1" applyFont="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protection locked="0"/>
    </xf>
    <xf numFmtId="4" fontId="11" fillId="0" borderId="205" xfId="0" applyNumberFormat="1" applyFont="1" applyBorder="1" applyAlignment="1" applyProtection="1">
      <alignment horizontal="justify" vertical="center" wrapText="1"/>
      <protection locked="0"/>
    </xf>
    <xf numFmtId="4" fontId="11" fillId="0" borderId="190" xfId="0" applyNumberFormat="1" applyFont="1" applyBorder="1" applyAlignment="1" applyProtection="1">
      <alignment horizontal="justify" vertical="center"/>
      <protection locked="0"/>
    </xf>
    <xf numFmtId="4" fontId="20" fillId="0" borderId="111" xfId="0" applyNumberFormat="1" applyFont="1" applyBorder="1" applyAlignment="1" applyProtection="1">
      <alignment horizontal="justify" vertical="center"/>
      <protection locked="0"/>
    </xf>
    <xf numFmtId="4" fontId="20" fillId="0" borderId="112" xfId="0" applyNumberFormat="1" applyFont="1" applyBorder="1" applyAlignment="1" applyProtection="1">
      <alignment horizontal="justify" vertical="center" wrapText="1"/>
      <protection locked="0"/>
    </xf>
    <xf numFmtId="4" fontId="20" fillId="0" borderId="206" xfId="0" applyNumberFormat="1" applyFont="1" applyBorder="1" applyAlignment="1" applyProtection="1">
      <alignment horizontal="justify" vertical="center" wrapText="1"/>
      <protection locked="0"/>
    </xf>
    <xf numFmtId="4" fontId="20" fillId="0" borderId="123" xfId="0" applyNumberFormat="1" applyFont="1" applyBorder="1" applyAlignment="1" applyProtection="1">
      <alignment horizontal="justify" vertical="center" wrapText="1"/>
      <protection locked="0"/>
    </xf>
    <xf numFmtId="4" fontId="20" fillId="0" borderId="37" xfId="0" applyNumberFormat="1" applyFont="1" applyBorder="1" applyAlignment="1" applyProtection="1">
      <alignment horizontal="justify" vertical="center" wrapText="1"/>
      <protection locked="0"/>
    </xf>
    <xf numFmtId="4" fontId="2" fillId="0" borderId="110"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wrapText="1"/>
      <protection locked="0"/>
    </xf>
    <xf numFmtId="4" fontId="2" fillId="0" borderId="208" xfId="0" applyNumberFormat="1" applyFont="1" applyBorder="1" applyAlignment="1" applyProtection="1">
      <alignment horizontal="justify" vertical="center"/>
      <protection locked="0"/>
    </xf>
    <xf numFmtId="4" fontId="2" fillId="0" borderId="211" xfId="0" applyNumberFormat="1" applyFont="1" applyBorder="1" applyAlignment="1" applyProtection="1">
      <alignment horizontal="justify" vertical="center"/>
      <protection locked="0"/>
    </xf>
    <xf numFmtId="4" fontId="2" fillId="0" borderId="112" xfId="0" applyNumberFormat="1" applyFont="1" applyBorder="1" applyAlignment="1" applyProtection="1">
      <alignment horizontal="justify" vertical="center" wrapText="1"/>
      <protection locked="0"/>
    </xf>
    <xf numFmtId="4" fontId="2" fillId="0" borderId="206" xfId="0" applyNumberFormat="1" applyFont="1" applyBorder="1" applyAlignment="1" applyProtection="1">
      <alignment horizontal="justify" vertical="center" wrapText="1"/>
      <protection locked="0"/>
    </xf>
    <xf numFmtId="4" fontId="2" fillId="0" borderId="123" xfId="0" applyNumberFormat="1" applyFont="1" applyBorder="1" applyAlignment="1" applyProtection="1">
      <alignment horizontal="justify" vertical="center" wrapText="1"/>
      <protection locked="0"/>
    </xf>
    <xf numFmtId="4" fontId="2" fillId="0" borderId="37" xfId="0" applyNumberFormat="1" applyFont="1" applyBorder="1" applyAlignment="1" applyProtection="1">
      <alignment horizontal="justify" vertical="center" wrapText="1"/>
      <protection locked="0"/>
    </xf>
    <xf numFmtId="4" fontId="2" fillId="0" borderId="188"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protection locked="0"/>
    </xf>
    <xf numFmtId="4" fontId="2" fillId="0" borderId="214" xfId="0" applyNumberFormat="1" applyFont="1" applyBorder="1" applyAlignment="1" applyProtection="1">
      <alignment horizontal="justify" vertical="center" wrapText="1"/>
      <protection locked="0"/>
    </xf>
    <xf numFmtId="0" fontId="11" fillId="0" borderId="97"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left" vertical="center" wrapText="1"/>
      <protection locked="0"/>
    </xf>
    <xf numFmtId="4" fontId="20"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center"/>
      <protection locked="0"/>
    </xf>
    <xf numFmtId="4" fontId="20" fillId="0" borderId="190" xfId="0" applyNumberFormat="1" applyFont="1" applyBorder="1" applyAlignment="1" applyProtection="1">
      <alignment horizontal="justify" vertical="center"/>
      <protection locked="0"/>
    </xf>
    <xf numFmtId="4" fontId="5" fillId="0" borderId="110" xfId="0" applyNumberFormat="1" applyFont="1" applyBorder="1" applyAlignment="1" applyProtection="1">
      <alignment horizontal="justify" vertical="center" wrapText="1"/>
      <protection locked="0"/>
    </xf>
    <xf numFmtId="4" fontId="5" fillId="0" borderId="1" xfId="0" applyNumberFormat="1" applyFont="1" applyBorder="1" applyAlignment="1" applyProtection="1">
      <alignment horizontal="justify" vertical="center" wrapText="1"/>
      <protection locked="0"/>
    </xf>
    <xf numFmtId="4" fontId="5" fillId="4" borderId="1" xfId="0" applyNumberFormat="1" applyFont="1" applyFill="1" applyBorder="1" applyAlignment="1" applyProtection="1">
      <alignment horizontal="justify" vertical="center" wrapText="1"/>
      <protection locked="0"/>
    </xf>
    <xf numFmtId="0" fontId="24" fillId="0" borderId="112" xfId="0" applyFont="1" applyBorder="1" applyAlignment="1" applyProtection="1">
      <alignment vertical="center" wrapText="1"/>
      <protection locked="0"/>
    </xf>
    <xf numFmtId="0" fontId="5" fillId="0" borderId="112" xfId="0" applyFont="1" applyBorder="1" applyAlignment="1" applyProtection="1">
      <alignment wrapText="1"/>
      <protection locked="0"/>
    </xf>
    <xf numFmtId="4" fontId="20" fillId="0" borderId="223" xfId="0" applyNumberFormat="1" applyFont="1" applyBorder="1" applyAlignment="1" applyProtection="1">
      <alignment horizontal="justify" vertical="center" wrapText="1"/>
      <protection locked="0"/>
    </xf>
    <xf numFmtId="4" fontId="20" fillId="0" borderId="12" xfId="0" applyNumberFormat="1" applyFont="1" applyBorder="1" applyAlignment="1" applyProtection="1">
      <alignment horizontal="justify" vertical="center"/>
      <protection locked="0"/>
    </xf>
    <xf numFmtId="4" fontId="20" fillId="0" borderId="227" xfId="0" applyNumberFormat="1" applyFont="1" applyBorder="1" applyAlignment="1" applyProtection="1">
      <alignment horizontal="justify" vertical="center" wrapText="1"/>
      <protection locked="0"/>
    </xf>
    <xf numFmtId="4" fontId="2" fillId="0" borderId="112" xfId="0" applyNumberFormat="1" applyFont="1" applyBorder="1" applyAlignment="1" applyProtection="1">
      <alignment horizontal="justify" vertical="center"/>
      <protection locked="0"/>
    </xf>
    <xf numFmtId="0" fontId="5" fillId="0" borderId="112" xfId="0" applyFont="1" applyBorder="1" applyAlignment="1" applyProtection="1">
      <alignment vertical="center" wrapText="1"/>
      <protection locked="0"/>
    </xf>
    <xf numFmtId="4" fontId="2" fillId="0" borderId="13" xfId="0" applyNumberFormat="1" applyFont="1" applyBorder="1" applyAlignment="1" applyProtection="1">
      <alignment horizontal="justify" vertical="center"/>
      <protection locked="0"/>
    </xf>
    <xf numFmtId="4" fontId="11" fillId="0" borderId="13" xfId="0" applyNumberFormat="1" applyFont="1" applyBorder="1" applyAlignment="1" applyProtection="1">
      <alignment horizontal="justify" vertical="center" wrapText="1"/>
      <protection locked="0"/>
    </xf>
    <xf numFmtId="4" fontId="11" fillId="4" borderId="13" xfId="0" applyNumberFormat="1" applyFont="1" applyFill="1" applyBorder="1" applyAlignment="1" applyProtection="1">
      <alignment horizontal="justify" vertical="center" wrapText="1"/>
      <protection locked="0"/>
    </xf>
    <xf numFmtId="4" fontId="20" fillId="0" borderId="195" xfId="0" applyNumberFormat="1" applyFont="1" applyBorder="1" applyAlignment="1" applyProtection="1">
      <alignment horizontal="justify" vertical="center"/>
      <protection locked="0"/>
    </xf>
    <xf numFmtId="0" fontId="2" fillId="0" borderId="96" xfId="0" applyFont="1" applyBorder="1" applyAlignment="1" applyProtection="1">
      <alignment horizontal="center" vertical="center" wrapText="1"/>
      <protection locked="0"/>
    </xf>
    <xf numFmtId="0" fontId="2" fillId="4" borderId="97" xfId="0" applyFont="1" applyFill="1" applyBorder="1" applyAlignment="1" applyProtection="1">
      <alignment horizontal="left" vertical="center" wrapText="1"/>
      <protection locked="0"/>
    </xf>
    <xf numFmtId="4" fontId="20" fillId="4" borderId="230" xfId="0" applyNumberFormat="1" applyFont="1" applyFill="1" applyBorder="1" applyAlignment="1" applyProtection="1">
      <alignment horizontal="justify" vertical="center" wrapText="1"/>
      <protection locked="0"/>
    </xf>
    <xf numFmtId="4" fontId="20" fillId="4" borderId="177" xfId="0" applyNumberFormat="1" applyFont="1" applyFill="1" applyBorder="1" applyAlignment="1" applyProtection="1">
      <alignment horizontal="justify" vertical="center" wrapText="1"/>
      <protection locked="0"/>
    </xf>
    <xf numFmtId="4" fontId="20" fillId="4" borderId="156" xfId="0" applyNumberFormat="1" applyFont="1" applyFill="1" applyBorder="1" applyAlignment="1" applyProtection="1">
      <alignment horizontal="justify" vertical="center" wrapText="1"/>
      <protection locked="0"/>
    </xf>
    <xf numFmtId="4" fontId="20" fillId="0" borderId="231" xfId="0" applyNumberFormat="1" applyFont="1" applyBorder="1" applyAlignment="1" applyProtection="1">
      <alignment horizontal="justify" vertical="center" wrapText="1"/>
      <protection locked="0"/>
    </xf>
    <xf numFmtId="4" fontId="20" fillId="0" borderId="2" xfId="0" applyNumberFormat="1" applyFont="1" applyBorder="1" applyAlignment="1" applyProtection="1">
      <alignment horizontal="justify" vertical="center" wrapText="1"/>
      <protection locked="0"/>
    </xf>
    <xf numFmtId="4" fontId="11" fillId="0" borderId="234" xfId="0" applyNumberFormat="1" applyFont="1" applyBorder="1" applyAlignment="1" applyProtection="1">
      <alignment horizontal="justify" vertical="center" wrapText="1"/>
      <protection locked="0"/>
    </xf>
    <xf numFmtId="4" fontId="20" fillId="0" borderId="234" xfId="0" applyNumberFormat="1" applyFont="1" applyBorder="1" applyAlignment="1" applyProtection="1">
      <alignment horizontal="justify" vertical="center" wrapText="1"/>
      <protection locked="0"/>
    </xf>
    <xf numFmtId="4" fontId="20" fillId="0" borderId="190" xfId="0" applyNumberFormat="1" applyFont="1" applyBorder="1" applyAlignment="1" applyProtection="1">
      <alignment horizontal="justify" vertical="center" wrapText="1"/>
      <protection locked="0"/>
    </xf>
    <xf numFmtId="4" fontId="20" fillId="0" borderId="188" xfId="0" applyNumberFormat="1" applyFont="1" applyBorder="1" applyAlignment="1" applyProtection="1">
      <alignment horizontal="justify" vertical="center" wrapText="1"/>
      <protection locked="0"/>
    </xf>
    <xf numFmtId="0" fontId="20" fillId="0" borderId="177" xfId="0" applyFont="1" applyBorder="1" applyAlignment="1" applyProtection="1">
      <alignment horizontal="left" vertical="center" wrapText="1"/>
      <protection locked="0"/>
    </xf>
    <xf numFmtId="4" fontId="20" fillId="4" borderId="234" xfId="0" applyNumberFormat="1" applyFont="1" applyFill="1" applyBorder="1" applyAlignment="1" applyProtection="1">
      <alignment horizontal="justify" vertical="center" wrapText="1"/>
      <protection locked="0"/>
    </xf>
    <xf numFmtId="4" fontId="20" fillId="0" borderId="96" xfId="0" applyNumberFormat="1" applyFont="1" applyBorder="1" applyAlignment="1" applyProtection="1">
      <alignment horizontal="left" vertical="center" wrapText="1"/>
      <protection locked="0"/>
    </xf>
    <xf numFmtId="4" fontId="11" fillId="4" borderId="223" xfId="0" applyNumberFormat="1" applyFont="1" applyFill="1" applyBorder="1" applyAlignment="1" applyProtection="1">
      <alignment horizontal="justify" vertical="center" wrapText="1"/>
      <protection locked="0"/>
    </xf>
    <xf numFmtId="4" fontId="20" fillId="0" borderId="188" xfId="0" applyNumberFormat="1" applyFont="1" applyBorder="1" applyAlignment="1" applyProtection="1">
      <alignment horizontal="left" vertical="center" wrapText="1"/>
      <protection locked="0"/>
    </xf>
    <xf numFmtId="4" fontId="20" fillId="0" borderId="235" xfId="0" applyNumberFormat="1" applyFont="1" applyBorder="1" applyAlignment="1" applyProtection="1">
      <alignment horizontal="justify" vertical="center"/>
      <protection locked="0"/>
    </xf>
    <xf numFmtId="4" fontId="2" fillId="0" borderId="99" xfId="0" applyNumberFormat="1" applyFont="1" applyBorder="1" applyAlignment="1" applyProtection="1">
      <alignment horizontal="justify" vertical="center" wrapText="1"/>
      <protection locked="0"/>
    </xf>
    <xf numFmtId="4" fontId="11" fillId="0" borderId="214" xfId="0" applyNumberFormat="1" applyFont="1" applyBorder="1" applyAlignment="1" applyProtection="1">
      <alignment horizontal="justify" vertical="center" wrapText="1"/>
      <protection locked="0"/>
    </xf>
    <xf numFmtId="4" fontId="2" fillId="0" borderId="223" xfId="0" applyNumberFormat="1" applyFont="1" applyBorder="1" applyAlignment="1" applyProtection="1">
      <alignment horizontal="justify" vertical="center" wrapText="1"/>
      <protection locked="0"/>
    </xf>
    <xf numFmtId="4" fontId="2" fillId="0" borderId="234" xfId="0" applyNumberFormat="1" applyFont="1" applyBorder="1" applyAlignment="1" applyProtection="1">
      <alignment horizontal="justify" vertical="center" wrapText="1"/>
      <protection locked="0"/>
    </xf>
    <xf numFmtId="4" fontId="11" fillId="0" borderId="223" xfId="0" applyNumberFormat="1" applyFont="1" applyBorder="1" applyAlignment="1" applyProtection="1">
      <alignment horizontal="justify" vertical="center" wrapText="1"/>
      <protection locked="0"/>
    </xf>
    <xf numFmtId="4" fontId="11" fillId="0" borderId="156" xfId="0" applyNumberFormat="1" applyFont="1" applyBorder="1" applyAlignment="1" applyProtection="1">
      <alignment horizontal="left" vertical="center" wrapText="1"/>
      <protection locked="0"/>
    </xf>
    <xf numFmtId="4" fontId="11" fillId="0" borderId="1" xfId="0" applyNumberFormat="1" applyFont="1" applyBorder="1" applyAlignment="1" applyProtection="1">
      <alignment horizontal="left" vertical="center" wrapText="1"/>
      <protection locked="0"/>
    </xf>
    <xf numFmtId="0" fontId="11" fillId="0" borderId="110" xfId="0" applyFont="1" applyBorder="1" applyAlignment="1" applyProtection="1">
      <alignment horizontal="left" vertical="center" wrapText="1"/>
      <protection locked="0"/>
    </xf>
    <xf numFmtId="0" fontId="20" fillId="0" borderId="177" xfId="0" applyFont="1" applyBorder="1" applyAlignment="1" applyProtection="1">
      <alignment horizontal="left" vertical="top" wrapText="1"/>
      <protection locked="0"/>
    </xf>
    <xf numFmtId="4" fontId="2" fillId="0" borderId="156" xfId="0" applyNumberFormat="1" applyFont="1" applyBorder="1" applyAlignment="1" applyProtection="1">
      <alignment horizontal="justify" vertical="center" wrapText="1"/>
      <protection locked="0"/>
    </xf>
    <xf numFmtId="4" fontId="2"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top" wrapText="1"/>
      <protection locked="0"/>
    </xf>
    <xf numFmtId="4" fontId="32" fillId="9" borderId="113" xfId="0" applyNumberFormat="1" applyFont="1" applyFill="1" applyBorder="1" applyAlignment="1">
      <alignment horizontal="center" vertical="center"/>
    </xf>
    <xf numFmtId="4" fontId="32" fillId="0" borderId="110" xfId="0" applyNumberFormat="1" applyFont="1" applyBorder="1" applyAlignment="1" applyProtection="1">
      <alignment horizontal="justify" vertical="center" wrapText="1"/>
      <protection locked="0"/>
    </xf>
    <xf numFmtId="4" fontId="32" fillId="0" borderId="1" xfId="0" applyNumberFormat="1" applyFont="1" applyBorder="1" applyAlignment="1" applyProtection="1">
      <alignment horizontal="justify" vertical="center" wrapText="1"/>
      <protection locked="0"/>
    </xf>
    <xf numFmtId="0" fontId="10" fillId="0" borderId="0" xfId="0" applyFont="1" applyAlignment="1" applyProtection="1">
      <alignment vertical="center" wrapText="1"/>
      <protection locked="0"/>
    </xf>
    <xf numFmtId="4" fontId="32" fillId="0" borderId="266"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left" vertical="center" wrapText="1"/>
      <protection locked="0"/>
    </xf>
    <xf numFmtId="4" fontId="32" fillId="0" borderId="269" xfId="0" applyNumberFormat="1" applyFont="1" applyBorder="1" applyAlignment="1" applyProtection="1">
      <alignment horizontal="left" vertical="center" wrapText="1"/>
      <protection locked="0"/>
    </xf>
    <xf numFmtId="4" fontId="32" fillId="0" borderId="260"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justify" vertical="center" wrapText="1"/>
      <protection locked="0"/>
    </xf>
    <xf numFmtId="4" fontId="32" fillId="4" borderId="266" xfId="0" applyNumberFormat="1" applyFont="1" applyFill="1" applyBorder="1" applyAlignment="1" applyProtection="1">
      <alignment horizontal="justify" vertical="center" wrapText="1"/>
      <protection locked="0"/>
    </xf>
    <xf numFmtId="0" fontId="12" fillId="0" borderId="10" xfId="0" applyFont="1" applyBorder="1" applyAlignment="1">
      <alignment horizontal="center" wrapText="1"/>
    </xf>
    <xf numFmtId="0" fontId="2" fillId="0" borderId="244" xfId="0" applyFont="1" applyBorder="1" applyAlignment="1">
      <alignment horizontal="center" vertical="center"/>
    </xf>
    <xf numFmtId="0" fontId="2" fillId="0" borderId="294"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295"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5" xfId="0" applyFont="1" applyBorder="1" applyAlignment="1" applyProtection="1">
      <alignment horizontal="center" vertical="center"/>
      <protection locked="0"/>
    </xf>
    <xf numFmtId="0" fontId="2" fillId="0" borderId="296" xfId="0" applyFont="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9" fillId="0" borderId="56" xfId="0" applyFont="1" applyBorder="1" applyAlignment="1">
      <alignment horizontal="left"/>
    </xf>
    <xf numFmtId="0" fontId="24" fillId="0" borderId="297" xfId="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295"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296" xfId="0" applyFont="1" applyBorder="1" applyAlignment="1" applyProtection="1">
      <alignment horizontal="center" vertical="center" wrapText="1"/>
      <protection locked="0"/>
    </xf>
    <xf numFmtId="0" fontId="24" fillId="0" borderId="57" xfId="0" applyFont="1" applyBorder="1" applyAlignment="1" applyProtection="1">
      <alignment horizontal="center" vertical="center" wrapText="1"/>
      <protection locked="0"/>
    </xf>
    <xf numFmtId="0" fontId="24" fillId="0" borderId="298"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4" fillId="0" borderId="299" xfId="0" applyNumberFormat="1" applyFont="1" applyBorder="1" applyAlignment="1" applyProtection="1">
      <alignment horizontal="center" vertical="center" wrapText="1"/>
      <protection locked="0"/>
    </xf>
    <xf numFmtId="49" fontId="24" fillId="0" borderId="300" xfId="0" applyNumberFormat="1" applyFont="1" applyBorder="1" applyAlignment="1" applyProtection="1">
      <alignment horizontal="center" vertical="center" wrapText="1"/>
      <protection locked="0"/>
    </xf>
    <xf numFmtId="49" fontId="24" fillId="0" borderId="301" xfId="0" applyNumberFormat="1" applyFont="1" applyBorder="1" applyAlignment="1" applyProtection="1">
      <alignment horizontal="center" vertical="center" wrapText="1"/>
      <protection locked="0"/>
    </xf>
    <xf numFmtId="0" fontId="2" fillId="0" borderId="245" xfId="0" applyFont="1" applyBorder="1" applyAlignment="1">
      <alignment horizontal="center" vertical="center" wrapText="1"/>
    </xf>
    <xf numFmtId="0" fontId="2" fillId="0" borderId="245" xfId="0" applyFont="1" applyBorder="1" applyAlignment="1">
      <alignment horizontal="center" vertical="center"/>
    </xf>
    <xf numFmtId="9" fontId="20" fillId="7" borderId="10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107" xfId="1" applyNumberFormat="1" applyFont="1" applyFill="1" applyBorder="1" applyAlignment="1" applyProtection="1">
      <alignment horizontal="center" vertical="center" wrapText="1"/>
    </xf>
    <xf numFmtId="4" fontId="20" fillId="0" borderId="15" xfId="1" applyNumberFormat="1" applyFont="1" applyFill="1" applyBorder="1" applyAlignment="1" applyProtection="1">
      <alignment horizontal="center" vertical="center" wrapText="1"/>
    </xf>
    <xf numFmtId="4" fontId="20" fillId="0" borderId="108" xfId="1" applyNumberFormat="1" applyFont="1" applyFill="1" applyBorder="1" applyAlignment="1" applyProtection="1">
      <alignment horizontal="center" vertical="center" wrapText="1"/>
    </xf>
    <xf numFmtId="4" fontId="20" fillId="6" borderId="104" xfId="0" applyNumberFormat="1" applyFont="1" applyFill="1" applyBorder="1" applyAlignment="1">
      <alignment horizontal="center" vertical="center" wrapText="1"/>
    </xf>
    <xf numFmtId="4" fontId="20" fillId="6" borderId="105" xfId="0" applyNumberFormat="1" applyFont="1" applyFill="1" applyBorder="1" applyAlignment="1">
      <alignment horizontal="center" vertical="center" wrapText="1"/>
    </xf>
    <xf numFmtId="4" fontId="20" fillId="6" borderId="106" xfId="0" applyNumberFormat="1" applyFont="1" applyFill="1" applyBorder="1" applyAlignment="1">
      <alignment horizontal="center" vertical="center" wrapText="1"/>
    </xf>
    <xf numFmtId="4" fontId="20" fillId="6" borderId="99" xfId="0" applyNumberFormat="1" applyFont="1" applyFill="1" applyBorder="1" applyAlignment="1">
      <alignment horizontal="center" vertical="center" wrapText="1"/>
    </xf>
    <xf numFmtId="4" fontId="20" fillId="6" borderId="42" xfId="0" applyNumberFormat="1" applyFont="1" applyFill="1" applyBorder="1" applyAlignment="1">
      <alignment horizontal="center" vertical="center" wrapText="1"/>
    </xf>
    <xf numFmtId="4" fontId="20" fillId="6" borderId="100" xfId="0" applyNumberFormat="1" applyFont="1" applyFill="1" applyBorder="1" applyAlignment="1">
      <alignment horizontal="center" vertical="center" wrapText="1"/>
    </xf>
    <xf numFmtId="49" fontId="20" fillId="0" borderId="147" xfId="0" applyNumberFormat="1" applyFont="1" applyBorder="1" applyAlignment="1" applyProtection="1">
      <alignment horizontal="center" vertical="center"/>
      <protection locked="0"/>
    </xf>
    <xf numFmtId="49" fontId="20" fillId="0" borderId="148" xfId="0" applyNumberFormat="1" applyFont="1" applyBorder="1" applyAlignment="1" applyProtection="1">
      <alignment horizontal="center" vertical="center"/>
      <protection locked="0"/>
    </xf>
    <xf numFmtId="49" fontId="20" fillId="0" borderId="149" xfId="0" applyNumberFormat="1" applyFont="1" applyBorder="1" applyAlignment="1" applyProtection="1">
      <alignment horizontal="center" vertical="center"/>
      <protection locked="0"/>
    </xf>
    <xf numFmtId="4" fontId="11" fillId="9" borderId="124" xfId="0" applyNumberFormat="1" applyFont="1" applyFill="1" applyBorder="1" applyAlignment="1">
      <alignment horizontal="center" vertical="center" wrapText="1"/>
    </xf>
    <xf numFmtId="4" fontId="11" fillId="9" borderId="41" xfId="0" applyNumberFormat="1" applyFont="1" applyFill="1" applyBorder="1" applyAlignment="1">
      <alignment horizontal="center" vertical="center" wrapText="1"/>
    </xf>
    <xf numFmtId="4" fontId="11" fillId="9" borderId="126" xfId="0" applyNumberFormat="1" applyFont="1" applyFill="1" applyBorder="1" applyAlignment="1">
      <alignment horizontal="center" vertical="center" wrapText="1"/>
    </xf>
    <xf numFmtId="4" fontId="2" fillId="4" borderId="124" xfId="0" applyNumberFormat="1" applyFont="1" applyFill="1" applyBorder="1" applyAlignment="1" applyProtection="1">
      <alignment horizontal="center" vertical="center" wrapText="1"/>
      <protection locked="0"/>
    </xf>
    <xf numFmtId="4" fontId="2" fillId="4" borderId="41" xfId="0" applyNumberFormat="1" applyFont="1" applyFill="1" applyBorder="1" applyAlignment="1" applyProtection="1">
      <alignment horizontal="center" vertical="center" wrapText="1"/>
      <protection locked="0"/>
    </xf>
    <xf numFmtId="4" fontId="2" fillId="4" borderId="126" xfId="0" applyNumberFormat="1" applyFont="1" applyFill="1" applyBorder="1" applyAlignment="1" applyProtection="1">
      <alignment horizontal="center" vertical="center" wrapText="1"/>
      <protection locked="0"/>
    </xf>
    <xf numFmtId="4" fontId="2" fillId="0" borderId="99" xfId="0" applyNumberFormat="1" applyFont="1" applyBorder="1" applyAlignment="1">
      <alignment horizontal="center" vertical="center" wrapText="1"/>
    </xf>
    <xf numFmtId="4" fontId="2" fillId="0" borderId="42" xfId="0" applyNumberFormat="1" applyFont="1" applyBorder="1" applyAlignment="1">
      <alignment horizontal="center" vertical="center" wrapText="1"/>
    </xf>
    <xf numFmtId="4" fontId="2" fillId="0" borderId="100" xfId="0" applyNumberFormat="1" applyFont="1" applyBorder="1" applyAlignment="1">
      <alignment horizontal="center" vertical="center" wrapText="1"/>
    </xf>
    <xf numFmtId="4" fontId="2" fillId="0" borderId="131" xfId="0" applyNumberFormat="1" applyFont="1" applyBorder="1" applyAlignment="1">
      <alignment horizontal="center" vertical="center" wrapText="1"/>
    </xf>
    <xf numFmtId="4" fontId="2" fillId="0" borderId="0" xfId="0" applyNumberFormat="1" applyFont="1" applyAlignment="1">
      <alignment horizontal="center" vertical="center" wrapText="1"/>
    </xf>
    <xf numFmtId="4" fontId="2" fillId="0" borderId="130" xfId="0" applyNumberFormat="1" applyFont="1" applyBorder="1" applyAlignment="1">
      <alignment horizontal="center" vertical="center" wrapText="1"/>
    </xf>
    <xf numFmtId="4" fontId="11" fillId="9" borderId="99" xfId="0" applyNumberFormat="1" applyFont="1" applyFill="1" applyBorder="1" applyAlignment="1">
      <alignment horizontal="center" vertical="center" wrapText="1"/>
    </xf>
    <xf numFmtId="4" fontId="11" fillId="9" borderId="42" xfId="0" applyNumberFormat="1" applyFont="1" applyFill="1" applyBorder="1" applyAlignment="1">
      <alignment horizontal="center" vertical="center" wrapText="1"/>
    </xf>
    <xf numFmtId="4" fontId="11" fillId="9" borderId="100" xfId="0" applyNumberFormat="1" applyFont="1" applyFill="1" applyBorder="1" applyAlignment="1">
      <alignment horizontal="center" vertical="center" wrapText="1"/>
    </xf>
    <xf numFmtId="0" fontId="20" fillId="0" borderId="99"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00" xfId="0" applyFont="1" applyBorder="1" applyAlignment="1">
      <alignment horizontal="center" vertical="center" wrapText="1"/>
    </xf>
    <xf numFmtId="4" fontId="20" fillId="9" borderId="99" xfId="0" applyNumberFormat="1" applyFont="1" applyFill="1" applyBorder="1" applyAlignment="1">
      <alignment horizontal="center" vertical="center" wrapText="1"/>
    </xf>
    <xf numFmtId="4" fontId="20" fillId="9" borderId="42" xfId="0" applyNumberFormat="1" applyFont="1" applyFill="1" applyBorder="1" applyAlignment="1">
      <alignment horizontal="center" vertical="center" wrapText="1"/>
    </xf>
    <xf numFmtId="4" fontId="20" fillId="9" borderId="100" xfId="0" applyNumberFormat="1" applyFont="1" applyFill="1" applyBorder="1" applyAlignment="1">
      <alignment horizontal="center" vertical="center" wrapText="1"/>
    </xf>
    <xf numFmtId="9" fontId="20" fillId="0" borderId="96" xfId="1" applyFont="1" applyFill="1" applyBorder="1" applyAlignment="1" applyProtection="1">
      <alignment horizontal="center" vertical="center" wrapText="1"/>
    </xf>
    <xf numFmtId="9" fontId="20" fillId="0" borderId="97" xfId="1" applyFont="1" applyFill="1" applyBorder="1" applyAlignment="1" applyProtection="1">
      <alignment horizontal="center" vertical="center" wrapText="1"/>
    </xf>
    <xf numFmtId="9" fontId="20" fillId="0" borderId="98" xfId="1" applyFont="1" applyFill="1" applyBorder="1" applyAlignment="1" applyProtection="1">
      <alignment horizontal="center" vertical="center" wrapText="1"/>
    </xf>
    <xf numFmtId="9" fontId="20" fillId="6" borderId="99" xfId="1" applyFont="1" applyFill="1" applyBorder="1" applyAlignment="1" applyProtection="1">
      <alignment horizontal="center" vertical="center" wrapText="1"/>
    </xf>
    <xf numFmtId="9" fontId="20" fillId="6" borderId="42" xfId="1" applyFont="1" applyFill="1" applyBorder="1" applyAlignment="1" applyProtection="1">
      <alignment horizontal="center" vertical="center" wrapText="1"/>
    </xf>
    <xf numFmtId="9" fontId="20" fillId="6" borderId="100" xfId="1" applyFont="1" applyFill="1" applyBorder="1" applyAlignment="1" applyProtection="1">
      <alignment horizontal="center" vertical="center" wrapText="1"/>
    </xf>
    <xf numFmtId="4" fontId="20" fillId="0" borderId="96" xfId="1" applyNumberFormat="1" applyFont="1" applyFill="1" applyBorder="1" applyAlignment="1" applyProtection="1">
      <alignment horizontal="center" vertical="center" wrapText="1"/>
    </xf>
    <xf numFmtId="4" fontId="20" fillId="0" borderId="97" xfId="1" applyNumberFormat="1" applyFont="1" applyFill="1" applyBorder="1" applyAlignment="1" applyProtection="1">
      <alignment horizontal="center" vertical="center" wrapText="1"/>
    </xf>
    <xf numFmtId="4" fontId="20" fillId="0" borderId="98" xfId="1" applyNumberFormat="1" applyFont="1" applyFill="1" applyBorder="1" applyAlignment="1" applyProtection="1">
      <alignment horizontal="center" vertical="center" wrapText="1"/>
    </xf>
    <xf numFmtId="4" fontId="20" fillId="0" borderId="101" xfId="1" applyNumberFormat="1" applyFont="1" applyFill="1" applyBorder="1" applyAlignment="1" applyProtection="1">
      <alignment horizontal="center" vertical="center" wrapText="1"/>
    </xf>
    <xf numFmtId="4" fontId="20" fillId="0" borderId="102" xfId="1" applyNumberFormat="1" applyFont="1" applyFill="1" applyBorder="1" applyAlignment="1" applyProtection="1">
      <alignment horizontal="center" vertical="center" wrapText="1"/>
    </xf>
    <xf numFmtId="4" fontId="20" fillId="0" borderId="103" xfId="1" applyNumberFormat="1" applyFont="1" applyFill="1" applyBorder="1" applyAlignment="1" applyProtection="1">
      <alignment horizontal="center" vertical="center" wrapText="1"/>
    </xf>
    <xf numFmtId="49" fontId="20" fillId="0" borderId="151" xfId="0" applyNumberFormat="1" applyFont="1" applyBorder="1" applyAlignment="1" applyProtection="1">
      <alignment horizontal="center" vertical="center"/>
      <protection locked="0"/>
    </xf>
    <xf numFmtId="49" fontId="20" fillId="0" borderId="150" xfId="0" applyNumberFormat="1" applyFont="1" applyBorder="1" applyAlignment="1" applyProtection="1">
      <alignment horizontal="center" vertical="center"/>
      <protection locked="0"/>
    </xf>
    <xf numFmtId="49" fontId="20" fillId="0" borderId="152" xfId="0" applyNumberFormat="1" applyFont="1" applyBorder="1" applyAlignment="1" applyProtection="1">
      <alignment horizontal="center" vertical="center"/>
      <protection locked="0"/>
    </xf>
    <xf numFmtId="4" fontId="11" fillId="4" borderId="124" xfId="0" applyNumberFormat="1" applyFont="1" applyFill="1" applyBorder="1" applyAlignment="1" applyProtection="1">
      <alignment horizontal="justify" vertical="center" wrapText="1"/>
      <protection locked="0"/>
    </xf>
    <xf numFmtId="4" fontId="11" fillId="4" borderId="41" xfId="0" applyNumberFormat="1" applyFont="1" applyFill="1" applyBorder="1" applyAlignment="1" applyProtection="1">
      <alignment horizontal="justify" vertical="center" wrapText="1"/>
      <protection locked="0"/>
    </xf>
    <xf numFmtId="4" fontId="11" fillId="4" borderId="126" xfId="0" applyNumberFormat="1" applyFont="1" applyFill="1" applyBorder="1" applyAlignment="1" applyProtection="1">
      <alignment horizontal="justify" vertical="center" wrapText="1"/>
      <protection locked="0"/>
    </xf>
    <xf numFmtId="4" fontId="11" fillId="0" borderId="99" xfId="0" applyNumberFormat="1" applyFont="1" applyBorder="1" applyAlignment="1">
      <alignment horizontal="justify" vertical="center" wrapText="1"/>
    </xf>
    <xf numFmtId="4" fontId="11" fillId="0" borderId="42" xfId="0" applyNumberFormat="1" applyFont="1" applyBorder="1" applyAlignment="1">
      <alignment horizontal="justify" vertical="center" wrapText="1"/>
    </xf>
    <xf numFmtId="4" fontId="11" fillId="0" borderId="100" xfId="0" applyNumberFormat="1" applyFont="1" applyBorder="1" applyAlignment="1">
      <alignment horizontal="justify" vertical="center" wrapText="1"/>
    </xf>
    <xf numFmtId="4" fontId="11" fillId="0" borderId="131" xfId="0" applyNumberFormat="1" applyFont="1" applyBorder="1" applyAlignment="1">
      <alignment horizontal="justify" vertical="center" wrapText="1"/>
    </xf>
    <xf numFmtId="4" fontId="11" fillId="0" borderId="0" xfId="0" applyNumberFormat="1" applyFont="1" applyAlignment="1">
      <alignment horizontal="justify" vertical="center" wrapText="1"/>
    </xf>
    <xf numFmtId="4" fontId="11" fillId="0" borderId="130" xfId="0" applyNumberFormat="1" applyFont="1" applyBorder="1" applyAlignment="1">
      <alignment horizontal="justify" vertical="center" wrapText="1"/>
    </xf>
    <xf numFmtId="4" fontId="11" fillId="9" borderId="112" xfId="0" applyNumberFormat="1" applyFont="1" applyFill="1" applyBorder="1" applyAlignment="1">
      <alignment horizontal="center" vertical="center" wrapText="1"/>
    </xf>
    <xf numFmtId="4" fontId="11" fillId="9" borderId="3" xfId="0" applyNumberFormat="1" applyFont="1" applyFill="1" applyBorder="1" applyAlignment="1">
      <alignment horizontal="center" vertical="center" wrapText="1"/>
    </xf>
    <xf numFmtId="4" fontId="11" fillId="9" borderId="119" xfId="0" applyNumberFormat="1" applyFont="1" applyFill="1" applyBorder="1" applyAlignment="1">
      <alignment horizontal="center" vertical="center" wrapText="1"/>
    </xf>
    <xf numFmtId="0" fontId="11" fillId="3" borderId="99"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wrapText="1"/>
      <protection locked="0"/>
    </xf>
    <xf numFmtId="0" fontId="11" fillId="3" borderId="100" xfId="0" applyFont="1" applyFill="1" applyBorder="1" applyAlignment="1" applyProtection="1">
      <alignment horizontal="center" vertical="center" wrapText="1"/>
      <protection locked="0"/>
    </xf>
    <xf numFmtId="0" fontId="11" fillId="0" borderId="99"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100" xfId="0" applyFont="1" applyBorder="1" applyAlignment="1">
      <alignment horizontal="center" vertical="center" wrapText="1"/>
    </xf>
    <xf numFmtId="4" fontId="20" fillId="6" borderId="96" xfId="0" applyNumberFormat="1" applyFont="1" applyFill="1" applyBorder="1" applyAlignment="1">
      <alignment horizontal="center" vertical="center" wrapText="1"/>
    </xf>
    <xf numFmtId="4" fontId="20" fillId="6" borderId="97" xfId="0" applyNumberFormat="1" applyFont="1" applyFill="1" applyBorder="1" applyAlignment="1">
      <alignment horizontal="center" vertical="center" wrapText="1"/>
    </xf>
    <xf numFmtId="4" fontId="20" fillId="6" borderId="98" xfId="0" applyNumberFormat="1" applyFont="1" applyFill="1" applyBorder="1" applyAlignment="1">
      <alignment horizontal="center" vertical="center" wrapText="1"/>
    </xf>
    <xf numFmtId="0" fontId="25" fillId="12" borderId="79" xfId="5" applyFont="1" applyFill="1" applyBorder="1" applyAlignment="1">
      <alignment horizontal="center"/>
    </xf>
    <xf numFmtId="0" fontId="25" fillId="12" borderId="81" xfId="5" applyFont="1" applyFill="1" applyBorder="1" applyAlignment="1">
      <alignment horizontal="center"/>
    </xf>
    <xf numFmtId="0" fontId="25" fillId="12" borderId="82" xfId="5" applyFont="1" applyFill="1" applyBorder="1" applyAlignment="1">
      <alignment horizontal="center"/>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66" xfId="0" applyFont="1" applyBorder="1" applyAlignment="1">
      <alignment horizontal="center" vertical="center" wrapText="1"/>
    </xf>
    <xf numFmtId="0" fontId="25" fillId="0" borderId="75" xfId="5" applyFont="1" applyBorder="1" applyAlignment="1">
      <alignment horizontal="center" vertical="center" wrapText="1"/>
    </xf>
    <xf numFmtId="0" fontId="25" fillId="0" borderId="23" xfId="5" applyFont="1" applyBorder="1" applyAlignment="1">
      <alignment horizontal="center" vertical="center" textRotation="90" wrapText="1"/>
    </xf>
    <xf numFmtId="4" fontId="11" fillId="4" borderId="124" xfId="0" applyNumberFormat="1" applyFont="1" applyFill="1" applyBorder="1" applyAlignment="1" applyProtection="1">
      <alignment horizontal="center" vertical="center" wrapText="1"/>
      <protection locked="0"/>
    </xf>
    <xf numFmtId="4" fontId="11" fillId="4" borderId="41" xfId="0" applyNumberFormat="1" applyFont="1" applyFill="1" applyBorder="1" applyAlignment="1" applyProtection="1">
      <alignment horizontal="center" vertical="center" wrapText="1"/>
      <protection locked="0"/>
    </xf>
    <xf numFmtId="4" fontId="11" fillId="4" borderId="126" xfId="0" applyNumberFormat="1" applyFont="1" applyFill="1" applyBorder="1" applyAlignment="1" applyProtection="1">
      <alignment horizontal="center" vertical="center" wrapText="1"/>
      <protection locked="0"/>
    </xf>
    <xf numFmtId="4" fontId="20" fillId="0" borderId="99" xfId="0" applyNumberFormat="1" applyFont="1" applyBorder="1" applyAlignment="1">
      <alignment horizontal="center" vertical="center" wrapText="1"/>
    </xf>
    <xf numFmtId="4" fontId="20" fillId="0" borderId="42" xfId="0" applyNumberFormat="1" applyFont="1" applyBorder="1" applyAlignment="1">
      <alignment horizontal="center" vertical="center" wrapText="1"/>
    </xf>
    <xf numFmtId="4" fontId="20" fillId="0" borderId="100" xfId="0" applyNumberFormat="1" applyFont="1" applyBorder="1" applyAlignment="1">
      <alignment horizontal="center" vertical="center" wrapText="1"/>
    </xf>
    <xf numFmtId="4" fontId="11" fillId="0" borderId="163" xfId="0" applyNumberFormat="1" applyFont="1" applyBorder="1" applyAlignment="1">
      <alignment horizontal="center" vertical="center" wrapText="1"/>
    </xf>
    <xf numFmtId="4" fontId="11" fillId="0" borderId="44" xfId="0" applyNumberFormat="1" applyFont="1" applyBorder="1" applyAlignment="1">
      <alignment horizontal="center" vertical="center" wrapText="1"/>
    </xf>
    <xf numFmtId="4" fontId="11" fillId="0" borderId="187" xfId="0" applyNumberFormat="1" applyFont="1" applyBorder="1" applyAlignment="1">
      <alignment horizontal="center" vertical="center" wrapText="1"/>
    </xf>
    <xf numFmtId="4" fontId="2" fillId="0" borderId="163" xfId="0" applyNumberFormat="1" applyFont="1" applyBorder="1" applyAlignment="1">
      <alignment horizontal="center" vertical="center" wrapText="1"/>
    </xf>
    <xf numFmtId="4" fontId="2" fillId="0" borderId="44" xfId="0" applyNumberFormat="1" applyFont="1" applyBorder="1" applyAlignment="1">
      <alignment horizontal="center" vertical="center" wrapText="1"/>
    </xf>
    <xf numFmtId="4" fontId="2" fillId="0" borderId="187" xfId="0" applyNumberFormat="1" applyFont="1" applyBorder="1" applyAlignment="1">
      <alignment horizontal="center" vertical="center" wrapText="1"/>
    </xf>
    <xf numFmtId="9" fontId="20" fillId="7" borderId="39" xfId="1" applyFont="1" applyFill="1" applyBorder="1" applyAlignment="1" applyProtection="1">
      <alignment horizontal="center" vertical="center"/>
    </xf>
    <xf numFmtId="4" fontId="20" fillId="0" borderId="39" xfId="1" applyNumberFormat="1" applyFont="1" applyFill="1" applyBorder="1" applyAlignment="1" applyProtection="1">
      <alignment horizontal="center" vertical="center" wrapText="1"/>
    </xf>
    <xf numFmtId="9" fontId="20" fillId="0" borderId="195" xfId="1" applyFont="1" applyFill="1" applyBorder="1" applyAlignment="1" applyProtection="1">
      <alignment horizontal="center" vertical="center" wrapText="1"/>
    </xf>
    <xf numFmtId="4" fontId="20" fillId="0" borderId="195" xfId="1" applyNumberFormat="1" applyFont="1" applyFill="1" applyBorder="1" applyAlignment="1" applyProtection="1">
      <alignment horizontal="center" vertical="center" wrapText="1"/>
    </xf>
    <xf numFmtId="4" fontId="20" fillId="6" borderId="196" xfId="0" applyNumberFormat="1" applyFont="1" applyFill="1" applyBorder="1" applyAlignment="1">
      <alignment horizontal="center" vertical="center" wrapText="1"/>
    </xf>
    <xf numFmtId="4" fontId="11" fillId="0" borderId="99" xfId="0" applyNumberFormat="1" applyFont="1" applyBorder="1" applyAlignment="1">
      <alignment horizontal="center" vertical="center" wrapText="1"/>
    </xf>
    <xf numFmtId="4" fontId="11" fillId="0" borderId="42" xfId="0" applyNumberFormat="1" applyFont="1" applyBorder="1" applyAlignment="1">
      <alignment horizontal="center" vertical="center" wrapText="1"/>
    </xf>
    <xf numFmtId="4" fontId="11" fillId="0" borderId="100" xfId="0" applyNumberFormat="1" applyFont="1" applyBorder="1" applyAlignment="1">
      <alignment horizontal="center" vertical="center" wrapText="1"/>
    </xf>
    <xf numFmtId="4" fontId="11" fillId="0" borderId="131" xfId="0" applyNumberFormat="1" applyFont="1" applyBorder="1" applyAlignment="1">
      <alignment horizontal="center" vertical="center" wrapText="1"/>
    </xf>
    <xf numFmtId="4" fontId="11" fillId="0" borderId="0" xfId="0" applyNumberFormat="1" applyFont="1" applyAlignment="1">
      <alignment horizontal="center" vertical="center" wrapText="1"/>
    </xf>
    <xf numFmtId="4" fontId="11" fillId="0" borderId="130" xfId="0" applyNumberFormat="1" applyFont="1" applyBorder="1" applyAlignment="1">
      <alignment horizontal="center" vertical="center" wrapText="1"/>
    </xf>
    <xf numFmtId="4" fontId="11" fillId="0" borderId="124" xfId="0" applyNumberFormat="1" applyFont="1" applyBorder="1" applyAlignment="1" applyProtection="1">
      <alignment horizontal="center" vertical="center" wrapText="1"/>
      <protection locked="0"/>
    </xf>
    <xf numFmtId="4" fontId="11" fillId="0" borderId="41" xfId="0" applyNumberFormat="1" applyFont="1" applyBorder="1" applyAlignment="1" applyProtection="1">
      <alignment horizontal="center" vertical="center" wrapText="1"/>
      <protection locked="0"/>
    </xf>
    <xf numFmtId="4" fontId="11" fillId="0" borderId="126" xfId="0" applyNumberFormat="1" applyFont="1" applyBorder="1" applyAlignment="1" applyProtection="1">
      <alignment horizontal="center" vertical="center" wrapText="1"/>
      <protection locked="0"/>
    </xf>
    <xf numFmtId="0" fontId="11" fillId="3" borderId="99"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100" xfId="0" applyFont="1" applyFill="1" applyBorder="1" applyAlignment="1">
      <alignment horizontal="center" vertical="center" wrapText="1"/>
    </xf>
    <xf numFmtId="4" fontId="11" fillId="4" borderId="99" xfId="0" applyNumberFormat="1" applyFont="1" applyFill="1" applyBorder="1" applyAlignment="1">
      <alignment horizontal="center" vertical="center" wrapText="1"/>
    </xf>
    <xf numFmtId="4" fontId="11" fillId="4" borderId="42" xfId="0" applyNumberFormat="1" applyFont="1" applyFill="1" applyBorder="1" applyAlignment="1">
      <alignment horizontal="center" vertical="center" wrapText="1"/>
    </xf>
    <xf numFmtId="4" fontId="11" fillId="4" borderId="100" xfId="0" applyNumberFormat="1" applyFont="1" applyFill="1" applyBorder="1" applyAlignment="1">
      <alignment horizontal="center" vertical="center" wrapText="1"/>
    </xf>
    <xf numFmtId="0" fontId="11" fillId="3" borderId="181" xfId="0" applyFont="1" applyFill="1" applyBorder="1" applyAlignment="1" applyProtection="1">
      <alignment horizontal="center" vertical="center" wrapText="1"/>
      <protection locked="0"/>
    </xf>
    <xf numFmtId="0" fontId="11" fillId="3" borderId="164" xfId="0" applyFont="1" applyFill="1" applyBorder="1" applyAlignment="1" applyProtection="1">
      <alignment horizontal="center" vertical="center" wrapText="1"/>
      <protection locked="0"/>
    </xf>
    <xf numFmtId="0" fontId="11" fillId="3" borderId="184" xfId="0" applyFont="1" applyFill="1" applyBorder="1" applyAlignment="1" applyProtection="1">
      <alignment horizontal="center" vertical="center" wrapText="1"/>
      <protection locked="0"/>
    </xf>
    <xf numFmtId="4" fontId="11" fillId="4" borderId="131" xfId="0" applyNumberFormat="1" applyFont="1" applyFill="1" applyBorder="1" applyAlignment="1">
      <alignment horizontal="center" vertical="center" wrapText="1"/>
    </xf>
    <xf numFmtId="4" fontId="11" fillId="4" borderId="0" xfId="0" applyNumberFormat="1" applyFont="1" applyFill="1" applyAlignment="1">
      <alignment horizontal="center" vertical="center" wrapText="1"/>
    </xf>
    <xf numFmtId="4" fontId="11" fillId="4" borderId="130" xfId="0" applyNumberFormat="1" applyFont="1" applyFill="1" applyBorder="1" applyAlignment="1">
      <alignment horizontal="center" vertical="center" wrapText="1"/>
    </xf>
    <xf numFmtId="4" fontId="11" fillId="0" borderId="99" xfId="0" quotePrefix="1" applyNumberFormat="1" applyFont="1" applyBorder="1" applyAlignment="1">
      <alignment horizontal="center" vertical="center" wrapText="1"/>
    </xf>
    <xf numFmtId="4" fontId="11" fillId="0" borderId="131" xfId="0" quotePrefix="1" applyNumberFormat="1" applyFont="1" applyBorder="1" applyAlignment="1">
      <alignment horizontal="center" vertical="center" wrapText="1"/>
    </xf>
    <xf numFmtId="0" fontId="11" fillId="0" borderId="182" xfId="0" applyFont="1" applyBorder="1" applyAlignment="1">
      <alignment horizontal="center" vertical="center" wrapText="1"/>
    </xf>
    <xf numFmtId="0" fontId="11" fillId="0" borderId="165" xfId="0" applyFont="1" applyBorder="1" applyAlignment="1">
      <alignment horizontal="center" vertical="center" wrapText="1"/>
    </xf>
    <xf numFmtId="0" fontId="11" fillId="0" borderId="185" xfId="0" applyFont="1" applyBorder="1" applyAlignment="1">
      <alignment horizontal="center" vertical="center" wrapText="1"/>
    </xf>
    <xf numFmtId="0" fontId="11" fillId="0" borderId="183" xfId="0" applyFont="1" applyBorder="1" applyAlignment="1">
      <alignment horizontal="center" vertical="center" wrapText="1"/>
    </xf>
    <xf numFmtId="0" fontId="11" fillId="0" borderId="166" xfId="0" applyFont="1" applyBorder="1" applyAlignment="1">
      <alignment horizontal="center" vertical="center" wrapText="1"/>
    </xf>
    <xf numFmtId="0" fontId="11" fillId="0" borderId="186" xfId="0" applyFont="1" applyBorder="1" applyAlignment="1">
      <alignment horizontal="center" vertical="center" wrapText="1"/>
    </xf>
    <xf numFmtId="0" fontId="11" fillId="0" borderId="99" xfId="0" quotePrefix="1" applyFont="1" applyBorder="1" applyAlignment="1">
      <alignment horizontal="center" vertical="center" wrapText="1"/>
    </xf>
    <xf numFmtId="49" fontId="20" fillId="0" borderId="217" xfId="0" applyNumberFormat="1" applyFont="1" applyBorder="1" applyAlignment="1" applyProtection="1">
      <alignment horizontal="center" vertical="center"/>
      <protection locked="0"/>
    </xf>
    <xf numFmtId="4" fontId="11" fillId="4" borderId="170" xfId="0" applyNumberFormat="1" applyFont="1" applyFill="1" applyBorder="1" applyAlignment="1" applyProtection="1">
      <alignment horizontal="center" vertical="center" wrapText="1"/>
      <protection locked="0"/>
    </xf>
    <xf numFmtId="4" fontId="11" fillId="0" borderId="171" xfId="0" applyNumberFormat="1" applyFont="1" applyBorder="1" applyAlignment="1">
      <alignment horizontal="center" vertical="center" wrapText="1"/>
    </xf>
    <xf numFmtId="4" fontId="11" fillId="0" borderId="225" xfId="0" applyNumberFormat="1" applyFont="1" applyBorder="1" applyAlignment="1">
      <alignment horizontal="center" vertical="center" wrapText="1"/>
    </xf>
    <xf numFmtId="4" fontId="20" fillId="6" borderId="195" xfId="0" applyNumberFormat="1" applyFont="1" applyFill="1" applyBorder="1" applyAlignment="1">
      <alignment horizontal="center" vertical="center" wrapText="1"/>
    </xf>
    <xf numFmtId="9" fontId="20" fillId="7" borderId="248" xfId="1" applyFont="1" applyFill="1" applyBorder="1" applyAlignment="1" applyProtection="1">
      <alignment horizontal="center" vertical="center"/>
    </xf>
    <xf numFmtId="4" fontId="20" fillId="0" borderId="248" xfId="1" applyNumberFormat="1" applyFont="1" applyFill="1" applyBorder="1" applyAlignment="1" applyProtection="1">
      <alignment horizontal="center" vertical="center" wrapText="1"/>
    </xf>
    <xf numFmtId="4" fontId="20" fillId="6" borderId="249" xfId="0" applyNumberFormat="1" applyFont="1" applyFill="1" applyBorder="1" applyAlignment="1">
      <alignment horizontal="center" vertical="center" wrapText="1"/>
    </xf>
    <xf numFmtId="4" fontId="20" fillId="6" borderId="250" xfId="0" applyNumberFormat="1" applyFont="1" applyFill="1" applyBorder="1" applyAlignment="1">
      <alignment horizontal="center" vertical="center" wrapText="1"/>
    </xf>
    <xf numFmtId="4" fontId="11" fillId="9" borderId="224" xfId="0" applyNumberFormat="1" applyFont="1" applyFill="1" applyBorder="1" applyAlignment="1">
      <alignment horizontal="center" vertical="center" wrapText="1"/>
    </xf>
    <xf numFmtId="4" fontId="11" fillId="9" borderId="226" xfId="0" applyNumberFormat="1" applyFont="1" applyFill="1" applyBorder="1" applyAlignment="1">
      <alignment horizontal="center" vertical="center" wrapText="1"/>
    </xf>
    <xf numFmtId="4" fontId="11" fillId="9" borderId="228" xfId="0" applyNumberFormat="1" applyFont="1" applyFill="1" applyBorder="1" applyAlignment="1">
      <alignment horizontal="center" vertical="center" wrapText="1"/>
    </xf>
    <xf numFmtId="4" fontId="11" fillId="9" borderId="220" xfId="0" applyNumberFormat="1" applyFont="1" applyFill="1" applyBorder="1" applyAlignment="1">
      <alignment horizontal="center" vertical="center" wrapText="1"/>
    </xf>
    <xf numFmtId="4" fontId="11" fillId="9" borderId="221" xfId="0" applyNumberFormat="1" applyFont="1" applyFill="1" applyBorder="1" applyAlignment="1">
      <alignment horizontal="center" vertical="center" wrapText="1"/>
    </xf>
    <xf numFmtId="4" fontId="11" fillId="9" borderId="222" xfId="0" applyNumberFormat="1" applyFont="1" applyFill="1" applyBorder="1" applyAlignment="1">
      <alignment horizontal="center" vertical="center" wrapText="1"/>
    </xf>
    <xf numFmtId="4" fontId="20" fillId="0" borderId="218" xfId="1" applyNumberFormat="1" applyFont="1" applyFill="1" applyBorder="1" applyAlignment="1" applyProtection="1">
      <alignment horizontal="center" vertical="center" wrapText="1"/>
    </xf>
    <xf numFmtId="4" fontId="20" fillId="4" borderId="124" xfId="0" applyNumberFormat="1" applyFont="1" applyFill="1" applyBorder="1" applyAlignment="1" applyProtection="1">
      <alignment horizontal="center" vertical="center" wrapText="1"/>
      <protection locked="0"/>
    </xf>
    <xf numFmtId="4" fontId="20" fillId="4" borderId="41" xfId="0" applyNumberFormat="1" applyFont="1" applyFill="1" applyBorder="1" applyAlignment="1" applyProtection="1">
      <alignment horizontal="center" vertical="center" wrapText="1"/>
      <protection locked="0"/>
    </xf>
    <xf numFmtId="4" fontId="20" fillId="4" borderId="126" xfId="0" applyNumberFormat="1" applyFont="1" applyFill="1" applyBorder="1" applyAlignment="1" applyProtection="1">
      <alignment horizontal="center" vertical="center" wrapText="1"/>
      <protection locked="0"/>
    </xf>
    <xf numFmtId="4" fontId="20" fillId="0" borderId="131" xfId="0" applyNumberFormat="1" applyFont="1" applyBorder="1" applyAlignment="1">
      <alignment horizontal="center" vertical="center" wrapText="1"/>
    </xf>
    <xf numFmtId="4" fontId="20" fillId="0" borderId="0" xfId="0" applyNumberFormat="1" applyFont="1" applyAlignment="1">
      <alignment horizontal="center" vertical="center" wrapText="1"/>
    </xf>
    <xf numFmtId="4" fontId="20" fillId="0" borderId="130" xfId="0" applyNumberFormat="1" applyFont="1" applyBorder="1" applyAlignment="1">
      <alignment horizontal="center" vertical="center" wrapText="1"/>
    </xf>
    <xf numFmtId="0" fontId="20" fillId="3" borderId="181" xfId="0" applyFont="1" applyFill="1" applyBorder="1" applyAlignment="1" applyProtection="1">
      <alignment horizontal="center" vertical="center" wrapText="1"/>
      <protection locked="0"/>
    </xf>
    <xf numFmtId="0" fontId="20" fillId="3" borderId="164" xfId="0" applyFont="1" applyFill="1" applyBorder="1" applyAlignment="1" applyProtection="1">
      <alignment horizontal="center" vertical="center" wrapText="1"/>
      <protection locked="0"/>
    </xf>
    <xf numFmtId="0" fontId="20" fillId="3" borderId="184" xfId="0" applyFont="1" applyFill="1" applyBorder="1" applyAlignment="1" applyProtection="1">
      <alignment horizontal="center" vertical="center" wrapText="1"/>
      <protection locked="0"/>
    </xf>
    <xf numFmtId="0" fontId="20" fillId="0" borderId="182" xfId="0" applyFont="1" applyBorder="1" applyAlignment="1">
      <alignment horizontal="center" vertical="center" wrapText="1"/>
    </xf>
    <xf numFmtId="0" fontId="20" fillId="0" borderId="165" xfId="0" applyFont="1" applyBorder="1" applyAlignment="1">
      <alignment horizontal="center" vertical="center" wrapText="1"/>
    </xf>
    <xf numFmtId="0" fontId="20" fillId="0" borderId="185" xfId="0" applyFont="1" applyBorder="1" applyAlignment="1">
      <alignment horizontal="center" vertical="center" wrapText="1"/>
    </xf>
    <xf numFmtId="0" fontId="20" fillId="0" borderId="183" xfId="0" applyFont="1" applyBorder="1" applyAlignment="1">
      <alignment horizontal="center" vertical="center" wrapText="1"/>
    </xf>
    <xf numFmtId="0" fontId="20" fillId="0" borderId="166" xfId="0" applyFont="1" applyBorder="1" applyAlignment="1">
      <alignment horizontal="center" vertical="center" wrapText="1"/>
    </xf>
    <xf numFmtId="0" fontId="20" fillId="0" borderId="186" xfId="0" applyFont="1" applyBorder="1" applyAlignment="1">
      <alignment horizontal="center" vertical="center" wrapText="1"/>
    </xf>
    <xf numFmtId="4" fontId="20" fillId="9" borderId="96" xfId="0" applyNumberFormat="1" applyFont="1" applyFill="1" applyBorder="1" applyAlignment="1">
      <alignment horizontal="center" vertical="center" wrapText="1"/>
    </xf>
    <xf numFmtId="4" fontId="20" fillId="9" borderId="97" xfId="0" applyNumberFormat="1" applyFont="1" applyFill="1" applyBorder="1" applyAlignment="1">
      <alignment horizontal="center" vertical="center" wrapText="1"/>
    </xf>
    <xf numFmtId="4" fontId="20" fillId="9" borderId="98" xfId="0" applyNumberFormat="1" applyFont="1" applyFill="1" applyBorder="1" applyAlignment="1">
      <alignment horizontal="center" vertical="center" wrapText="1"/>
    </xf>
    <xf numFmtId="4" fontId="11" fillId="9" borderId="96" xfId="0" applyNumberFormat="1" applyFont="1" applyFill="1" applyBorder="1" applyAlignment="1">
      <alignment horizontal="center" vertical="center" wrapText="1"/>
    </xf>
    <xf numFmtId="4" fontId="11" fillId="9" borderId="97" xfId="0" applyNumberFormat="1" applyFont="1" applyFill="1" applyBorder="1" applyAlignment="1">
      <alignment horizontal="center" vertical="center" wrapText="1"/>
    </xf>
    <xf numFmtId="4" fontId="11" fillId="9" borderId="98" xfId="0" applyNumberFormat="1" applyFont="1" applyFill="1" applyBorder="1" applyAlignment="1">
      <alignment horizontal="center" vertical="center" wrapText="1"/>
    </xf>
    <xf numFmtId="9" fontId="20" fillId="6" borderId="96" xfId="1" applyFont="1" applyFill="1" applyBorder="1" applyAlignment="1" applyProtection="1">
      <alignment horizontal="center" vertical="center" wrapText="1"/>
    </xf>
    <xf numFmtId="9" fontId="20" fillId="6" borderId="97" xfId="1" applyFont="1" applyFill="1" applyBorder="1" applyAlignment="1" applyProtection="1">
      <alignment horizontal="center" vertical="center" wrapText="1"/>
    </xf>
    <xf numFmtId="9" fontId="20" fillId="6" borderId="98" xfId="1" applyFont="1" applyFill="1" applyBorder="1" applyAlignment="1" applyProtection="1">
      <alignment horizontal="center" vertical="center" wrapText="1"/>
    </xf>
    <xf numFmtId="4" fontId="5" fillId="2" borderId="254" xfId="0" applyNumberFormat="1" applyFont="1" applyFill="1" applyBorder="1" applyAlignment="1" applyProtection="1">
      <alignment horizontal="center" vertical="center" wrapText="1"/>
      <protection locked="0"/>
    </xf>
    <xf numFmtId="4" fontId="5" fillId="2" borderId="255" xfId="0" applyNumberFormat="1" applyFont="1" applyFill="1" applyBorder="1" applyAlignment="1" applyProtection="1">
      <alignment horizontal="center" vertical="center" wrapText="1"/>
      <protection locked="0"/>
    </xf>
    <xf numFmtId="4" fontId="5" fillId="2" borderId="138" xfId="0" applyNumberFormat="1" applyFont="1" applyFill="1" applyBorder="1" applyAlignment="1" applyProtection="1">
      <alignment horizontal="center" vertical="center"/>
      <protection locked="0"/>
    </xf>
    <xf numFmtId="4" fontId="5" fillId="2" borderId="131" xfId="0" applyNumberFormat="1" applyFont="1" applyFill="1" applyBorder="1" applyAlignment="1" applyProtection="1">
      <alignment horizontal="center" vertical="center"/>
      <protection locked="0"/>
    </xf>
    <xf numFmtId="4" fontId="5" fillId="2" borderId="132" xfId="0" applyNumberFormat="1" applyFont="1" applyFill="1" applyBorder="1" applyAlignment="1" applyProtection="1">
      <alignment horizontal="center" vertical="center"/>
      <protection locked="0"/>
    </xf>
    <xf numFmtId="4" fontId="5" fillId="2" borderId="59" xfId="0" applyNumberFormat="1" applyFont="1" applyFill="1" applyBorder="1" applyAlignment="1" applyProtection="1">
      <alignment horizontal="center" vertical="center"/>
      <protection locked="0"/>
    </xf>
    <xf numFmtId="4" fontId="5" fillId="2" borderId="29" xfId="0" applyNumberFormat="1" applyFont="1" applyFill="1" applyBorder="1" applyAlignment="1" applyProtection="1">
      <alignment horizontal="center" vertical="center"/>
      <protection locked="0"/>
    </xf>
    <xf numFmtId="4" fontId="5" fillId="2" borderId="32"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wrapText="1"/>
      <protection locked="0"/>
    </xf>
    <xf numFmtId="4" fontId="5" fillId="2" borderId="28" xfId="0" applyNumberFormat="1" applyFont="1" applyFill="1" applyBorder="1" applyAlignment="1" applyProtection="1">
      <alignment horizontal="center" vertical="center" wrapText="1"/>
      <protection locked="0"/>
    </xf>
    <xf numFmtId="4" fontId="5" fillId="2" borderId="141" xfId="0" applyNumberFormat="1" applyFont="1" applyFill="1" applyBorder="1" applyAlignment="1" applyProtection="1">
      <alignment horizontal="center" vertical="center" textRotation="90"/>
      <protection locked="0"/>
    </xf>
    <xf numFmtId="4" fontId="5" fillId="2" borderId="142" xfId="0" applyNumberFormat="1" applyFont="1" applyFill="1" applyBorder="1" applyAlignment="1" applyProtection="1">
      <alignment horizontal="center" vertical="center" textRotation="90"/>
      <protection locked="0"/>
    </xf>
    <xf numFmtId="49" fontId="20" fillId="0" borderId="139" xfId="0" applyNumberFormat="1" applyFont="1" applyBorder="1" applyAlignment="1" applyProtection="1">
      <alignment horizontal="center" vertical="center"/>
      <protection locked="0"/>
    </xf>
    <xf numFmtId="49" fontId="20" fillId="0" borderId="238" xfId="0" applyNumberFormat="1" applyFont="1" applyBorder="1" applyAlignment="1" applyProtection="1">
      <alignment horizontal="center" vertical="center"/>
      <protection locked="0"/>
    </xf>
    <xf numFmtId="49" fontId="20" fillId="0" borderId="241" xfId="0" applyNumberFormat="1" applyFont="1" applyBorder="1" applyAlignment="1" applyProtection="1">
      <alignment horizontal="center" vertical="center"/>
      <protection locked="0"/>
    </xf>
    <xf numFmtId="4" fontId="5" fillId="2" borderId="133" xfId="0" applyNumberFormat="1" applyFont="1" applyFill="1" applyBorder="1" applyAlignment="1" applyProtection="1">
      <alignment horizontal="center" vertical="center"/>
      <protection locked="0"/>
    </xf>
    <xf numFmtId="4" fontId="5" fillId="2" borderId="137" xfId="0" applyNumberFormat="1" applyFont="1" applyFill="1" applyBorder="1" applyAlignment="1" applyProtection="1">
      <alignment horizontal="center" vertical="center"/>
      <protection locked="0"/>
    </xf>
    <xf numFmtId="4" fontId="5" fillId="2" borderId="92" xfId="0" applyNumberFormat="1" applyFont="1" applyFill="1" applyBorder="1" applyAlignment="1" applyProtection="1">
      <alignment horizontal="center" vertical="center"/>
      <protection locked="0"/>
    </xf>
    <xf numFmtId="4" fontId="5" fillId="2" borderId="93" xfId="0" applyNumberFormat="1" applyFont="1" applyFill="1" applyBorder="1" applyAlignment="1" applyProtection="1">
      <alignment horizontal="center" vertical="center"/>
      <protection locked="0"/>
    </xf>
    <xf numFmtId="4" fontId="5" fillId="2" borderId="34"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textRotation="90" wrapText="1"/>
      <protection locked="0"/>
    </xf>
    <xf numFmtId="4" fontId="5" fillId="2" borderId="28" xfId="0" applyNumberFormat="1" applyFont="1" applyFill="1" applyBorder="1" applyAlignment="1" applyProtection="1">
      <alignment horizontal="center" vertical="center" textRotation="90" wrapText="1"/>
      <protection locked="0"/>
    </xf>
    <xf numFmtId="4" fontId="5" fillId="2" borderId="94" xfId="0" applyNumberFormat="1" applyFont="1" applyFill="1" applyBorder="1" applyAlignment="1" applyProtection="1">
      <alignment horizontal="center" vertical="center" textRotation="90" wrapText="1"/>
      <protection locked="0"/>
    </xf>
    <xf numFmtId="4" fontId="5" fillId="2" borderId="31" xfId="0" applyNumberFormat="1" applyFont="1" applyFill="1" applyBorder="1" applyAlignment="1" applyProtection="1">
      <alignment horizontal="center" vertical="center" textRotation="90" wrapText="1"/>
      <protection locked="0"/>
    </xf>
    <xf numFmtId="4" fontId="5" fillId="2" borderId="84" xfId="0" applyNumberFormat="1" applyFont="1" applyFill="1" applyBorder="1" applyAlignment="1" applyProtection="1">
      <alignment horizontal="center" vertical="center" textRotation="90" wrapText="1"/>
      <protection locked="0"/>
    </xf>
    <xf numFmtId="4" fontId="5" fillId="2" borderId="85" xfId="0" applyNumberFormat="1" applyFont="1" applyFill="1" applyBorder="1" applyAlignment="1" applyProtection="1">
      <alignment horizontal="center" vertical="center" textRotation="90" wrapText="1"/>
      <protection locked="0"/>
    </xf>
    <xf numFmtId="4" fontId="5" fillId="2" borderId="252" xfId="0" applyNumberFormat="1" applyFont="1" applyFill="1" applyBorder="1" applyAlignment="1" applyProtection="1">
      <alignment horizontal="center" vertical="center"/>
      <protection locked="0"/>
    </xf>
    <xf numFmtId="4" fontId="5" fillId="2" borderId="253" xfId="0" applyNumberFormat="1" applyFont="1" applyFill="1" applyBorder="1" applyAlignment="1" applyProtection="1">
      <alignment horizontal="center" vertical="center"/>
      <protection locked="0"/>
    </xf>
    <xf numFmtId="49" fontId="20" fillId="0" borderId="233" xfId="0" applyNumberFormat="1" applyFont="1" applyBorder="1" applyAlignment="1" applyProtection="1">
      <alignment horizontal="center" vertical="center"/>
      <protection locked="0"/>
    </xf>
    <xf numFmtId="49" fontId="20" fillId="0" borderId="242" xfId="0" applyNumberFormat="1" applyFont="1" applyBorder="1" applyAlignment="1" applyProtection="1">
      <alignment horizontal="center" vertical="center"/>
      <protection locked="0"/>
    </xf>
    <xf numFmtId="49" fontId="20" fillId="0" borderId="243" xfId="0" applyNumberFormat="1" applyFont="1" applyBorder="1" applyAlignment="1" applyProtection="1">
      <alignment horizontal="center" vertical="center"/>
      <protection locked="0"/>
    </xf>
    <xf numFmtId="0" fontId="11" fillId="10" borderId="159" xfId="0" applyFont="1" applyFill="1" applyBorder="1" applyAlignment="1" applyProtection="1">
      <alignment horizontal="center" vertical="center" wrapText="1"/>
      <protection locked="0"/>
    </xf>
    <xf numFmtId="0" fontId="11" fillId="10" borderId="164" xfId="0" applyFont="1" applyFill="1" applyBorder="1" applyAlignment="1" applyProtection="1">
      <alignment horizontal="center" vertical="center" wrapText="1"/>
      <protection locked="0"/>
    </xf>
    <xf numFmtId="0" fontId="11" fillId="10" borderId="167" xfId="0" applyFont="1" applyFill="1" applyBorder="1" applyAlignment="1" applyProtection="1">
      <alignment horizontal="center" vertical="center" wrapText="1"/>
      <protection locked="0"/>
    </xf>
    <xf numFmtId="4" fontId="2" fillId="4" borderId="170" xfId="0" applyNumberFormat="1" applyFont="1" applyFill="1" applyBorder="1" applyAlignment="1" applyProtection="1">
      <alignment horizontal="center" vertical="center" wrapText="1"/>
      <protection locked="0"/>
    </xf>
    <xf numFmtId="4" fontId="11" fillId="4" borderId="178" xfId="0" applyNumberFormat="1" applyFont="1" applyFill="1" applyBorder="1" applyAlignment="1" applyProtection="1">
      <alignment horizontal="center" vertical="center" wrapText="1"/>
      <protection locked="0"/>
    </xf>
    <xf numFmtId="4" fontId="11" fillId="9" borderId="104" xfId="0" applyNumberFormat="1" applyFont="1" applyFill="1" applyBorder="1" applyAlignment="1">
      <alignment horizontal="center" vertical="center" wrapText="1"/>
    </xf>
    <xf numFmtId="4" fontId="11" fillId="9" borderId="105" xfId="0" applyNumberFormat="1" applyFont="1" applyFill="1" applyBorder="1" applyAlignment="1">
      <alignment horizontal="center" vertical="center" wrapText="1"/>
    </xf>
    <xf numFmtId="4" fontId="11" fillId="9" borderId="106" xfId="0" applyNumberFormat="1" applyFont="1" applyFill="1" applyBorder="1" applyAlignment="1">
      <alignment horizontal="center" vertical="center" wrapText="1"/>
    </xf>
    <xf numFmtId="0" fontId="11" fillId="0" borderId="96" xfId="0" applyFont="1" applyBorder="1" applyAlignment="1" applyProtection="1">
      <alignment horizontal="center" vertical="center" wrapText="1"/>
      <protection locked="0"/>
    </xf>
    <xf numFmtId="0" fontId="11" fillId="0" borderId="97" xfId="0" applyFont="1" applyBorder="1" applyAlignment="1" applyProtection="1">
      <alignment horizontal="center" vertical="center" wrapText="1"/>
      <protection locked="0"/>
    </xf>
    <xf numFmtId="0" fontId="11" fillId="0" borderId="98" xfId="0" applyFont="1" applyBorder="1" applyAlignment="1" applyProtection="1">
      <alignment horizontal="center" vertical="center" wrapText="1"/>
      <protection locked="0"/>
    </xf>
    <xf numFmtId="0" fontId="11" fillId="4" borderId="96" xfId="0" applyFont="1" applyFill="1" applyBorder="1" applyAlignment="1">
      <alignment horizontal="center" vertical="center" wrapText="1"/>
    </xf>
    <xf numFmtId="0" fontId="11" fillId="4" borderId="97" xfId="0" applyFont="1" applyFill="1" applyBorder="1" applyAlignment="1">
      <alignment horizontal="center" vertical="center" wrapText="1"/>
    </xf>
    <xf numFmtId="0" fontId="11" fillId="4" borderId="98" xfId="0" applyFont="1" applyFill="1" applyBorder="1" applyAlignment="1">
      <alignment horizontal="center" vertical="center" wrapText="1"/>
    </xf>
    <xf numFmtId="0" fontId="2" fillId="0" borderId="161" xfId="0" applyFont="1" applyBorder="1" applyAlignment="1">
      <alignment horizontal="center" vertical="center" wrapText="1"/>
    </xf>
    <xf numFmtId="0" fontId="2" fillId="0" borderId="166" xfId="0" applyFont="1" applyBorder="1" applyAlignment="1">
      <alignment horizontal="center" vertical="center" wrapText="1"/>
    </xf>
    <xf numFmtId="0" fontId="2" fillId="0" borderId="169" xfId="0" applyFont="1" applyBorder="1" applyAlignment="1">
      <alignment horizontal="center" vertical="center" wrapText="1"/>
    </xf>
    <xf numFmtId="0" fontId="2" fillId="3" borderId="159" xfId="0" applyFont="1" applyFill="1" applyBorder="1" applyAlignment="1" applyProtection="1">
      <alignment horizontal="center" vertical="center" wrapText="1"/>
      <protection locked="0"/>
    </xf>
    <xf numFmtId="0" fontId="2" fillId="3" borderId="164" xfId="0" applyFont="1" applyFill="1" applyBorder="1" applyAlignment="1" applyProtection="1">
      <alignment horizontal="center" vertical="center" wrapText="1"/>
      <protection locked="0"/>
    </xf>
    <xf numFmtId="0" fontId="2" fillId="3" borderId="167" xfId="0" applyFont="1" applyFill="1" applyBorder="1" applyAlignment="1" applyProtection="1">
      <alignment horizontal="center" vertical="center" wrapText="1"/>
      <protection locked="0"/>
    </xf>
    <xf numFmtId="0" fontId="2" fillId="0" borderId="160" xfId="0" applyFont="1" applyBorder="1" applyAlignment="1">
      <alignment horizontal="center" vertical="center" wrapText="1"/>
    </xf>
    <xf numFmtId="0" fontId="2" fillId="0" borderId="165" xfId="0" applyFont="1" applyBorder="1" applyAlignment="1">
      <alignment horizontal="center" vertical="center" wrapText="1"/>
    </xf>
    <xf numFmtId="0" fontId="2" fillId="0" borderId="168" xfId="0" applyFont="1" applyBorder="1" applyAlignment="1">
      <alignment horizontal="center" vertical="center" wrapText="1"/>
    </xf>
    <xf numFmtId="0" fontId="11" fillId="0" borderId="160" xfId="0" applyFont="1" applyBorder="1" applyAlignment="1">
      <alignment horizontal="center" vertical="center" wrapText="1"/>
    </xf>
    <xf numFmtId="0" fontId="11" fillId="0" borderId="168" xfId="0" applyFont="1" applyBorder="1" applyAlignment="1">
      <alignment horizontal="center" vertical="center" wrapText="1"/>
    </xf>
    <xf numFmtId="0" fontId="11" fillId="0" borderId="161" xfId="0" applyFont="1" applyBorder="1" applyAlignment="1">
      <alignment horizontal="center" vertical="center" wrapText="1"/>
    </xf>
    <xf numFmtId="0" fontId="11" fillId="0" borderId="169" xfId="0" applyFont="1" applyBorder="1" applyAlignment="1">
      <alignment horizontal="center" vertical="center" wrapText="1"/>
    </xf>
    <xf numFmtId="4" fontId="2" fillId="4" borderId="171" xfId="0" applyNumberFormat="1" applyFont="1" applyFill="1" applyBorder="1" applyAlignment="1">
      <alignment horizontal="center" vertical="center" wrapText="1"/>
    </xf>
    <xf numFmtId="4" fontId="2" fillId="4" borderId="42" xfId="0" applyNumberFormat="1" applyFont="1" applyFill="1" applyBorder="1" applyAlignment="1">
      <alignment horizontal="center" vertical="center" wrapText="1"/>
    </xf>
    <xf numFmtId="4" fontId="2" fillId="4" borderId="179" xfId="0" applyNumberFormat="1" applyFont="1" applyFill="1" applyBorder="1" applyAlignment="1">
      <alignment horizontal="center" vertical="center" wrapText="1"/>
    </xf>
    <xf numFmtId="4" fontId="2" fillId="4" borderId="172" xfId="0" applyNumberFormat="1" applyFont="1" applyFill="1" applyBorder="1" applyAlignment="1">
      <alignment horizontal="center" vertical="center" wrapText="1"/>
    </xf>
    <xf numFmtId="4" fontId="2" fillId="4" borderId="44" xfId="0" applyNumberFormat="1" applyFont="1" applyFill="1" applyBorder="1" applyAlignment="1">
      <alignment horizontal="center" vertical="center" wrapText="1"/>
    </xf>
    <xf numFmtId="4" fontId="2" fillId="4" borderId="180" xfId="0" applyNumberFormat="1" applyFont="1" applyFill="1" applyBorder="1" applyAlignment="1">
      <alignment horizontal="center" vertical="center" wrapText="1"/>
    </xf>
    <xf numFmtId="4" fontId="5" fillId="2" borderId="21" xfId="0" applyNumberFormat="1" applyFont="1" applyFill="1" applyBorder="1" applyAlignment="1" applyProtection="1">
      <alignment horizontal="center" vertical="center"/>
      <protection locked="0"/>
    </xf>
    <xf numFmtId="4" fontId="5" fillId="2" borderId="35" xfId="0" applyNumberFormat="1" applyFont="1" applyFill="1" applyBorder="1" applyAlignment="1" applyProtection="1">
      <alignment horizontal="center" vertical="center"/>
      <protection locked="0"/>
    </xf>
    <xf numFmtId="4" fontId="5" fillId="2" borderId="86" xfId="0" applyNumberFormat="1" applyFont="1" applyFill="1" applyBorder="1" applyAlignment="1" applyProtection="1">
      <alignment horizontal="center" vertical="center"/>
      <protection locked="0"/>
    </xf>
    <xf numFmtId="4" fontId="5" fillId="2" borderId="87" xfId="0" applyNumberFormat="1" applyFont="1" applyFill="1" applyBorder="1" applyAlignment="1" applyProtection="1">
      <alignment horizontal="center" vertical="center"/>
      <protection locked="0"/>
    </xf>
    <xf numFmtId="4" fontId="5" fillId="2" borderId="88" xfId="0" applyNumberFormat="1" applyFont="1" applyFill="1" applyBorder="1" applyAlignment="1" applyProtection="1">
      <alignment horizontal="center" vertical="center" wrapText="1"/>
      <protection locked="0"/>
    </xf>
    <xf numFmtId="4" fontId="5" fillId="2" borderId="89" xfId="0" applyNumberFormat="1" applyFont="1" applyFill="1" applyBorder="1" applyAlignment="1" applyProtection="1">
      <alignment horizontal="center" vertical="center" wrapText="1"/>
      <protection locked="0"/>
    </xf>
    <xf numFmtId="4" fontId="5" fillId="2" borderId="90" xfId="0" applyNumberFormat="1" applyFont="1" applyFill="1" applyBorder="1" applyAlignment="1" applyProtection="1">
      <alignment horizontal="center" vertical="center" wrapText="1"/>
      <protection locked="0"/>
    </xf>
    <xf numFmtId="4" fontId="5" fillId="2" borderId="91" xfId="0" applyNumberFormat="1" applyFont="1" applyFill="1" applyBorder="1" applyAlignment="1" applyProtection="1">
      <alignment horizontal="center" vertical="center" wrapText="1"/>
      <protection locked="0"/>
    </xf>
    <xf numFmtId="4" fontId="5" fillId="2" borderId="84" xfId="0" applyNumberFormat="1" applyFont="1" applyFill="1" applyBorder="1" applyAlignment="1" applyProtection="1">
      <alignment horizontal="center" vertical="center" wrapText="1"/>
      <protection locked="0"/>
    </xf>
    <xf numFmtId="4" fontId="5" fillId="2" borderId="85" xfId="0" applyNumberFormat="1" applyFont="1" applyFill="1" applyBorder="1" applyAlignment="1" applyProtection="1">
      <alignment horizontal="center" vertical="center" wrapText="1"/>
      <protection locked="0"/>
    </xf>
    <xf numFmtId="4" fontId="5" fillId="2" borderId="134" xfId="0" applyNumberFormat="1" applyFont="1" applyFill="1" applyBorder="1" applyAlignment="1" applyProtection="1">
      <alignment horizontal="center" vertical="center"/>
      <protection locked="0"/>
    </xf>
    <xf numFmtId="4" fontId="5" fillId="2" borderId="135" xfId="0" applyNumberFormat="1" applyFont="1" applyFill="1" applyBorder="1" applyAlignment="1" applyProtection="1">
      <alignment horizontal="center" vertical="center"/>
      <protection locked="0"/>
    </xf>
    <xf numFmtId="4" fontId="5" fillId="2" borderId="136" xfId="0" applyNumberFormat="1" applyFont="1" applyFill="1" applyBorder="1" applyAlignment="1" applyProtection="1">
      <alignment horizontal="center" vertical="center"/>
      <protection locked="0"/>
    </xf>
    <xf numFmtId="49" fontId="20" fillId="0" borderId="229" xfId="0" applyNumberFormat="1" applyFont="1" applyBorder="1" applyAlignment="1" applyProtection="1">
      <alignment horizontal="center" vertical="center"/>
      <protection locked="0"/>
    </xf>
    <xf numFmtId="49" fontId="20" fillId="0" borderId="140" xfId="0" applyNumberFormat="1" applyFont="1" applyBorder="1" applyAlignment="1" applyProtection="1">
      <alignment horizontal="center" vertical="center"/>
      <protection locked="0"/>
    </xf>
    <xf numFmtId="4" fontId="11" fillId="4" borderId="171" xfId="0" applyNumberFormat="1" applyFont="1" applyFill="1" applyBorder="1" applyAlignment="1">
      <alignment horizontal="center" vertical="center" wrapText="1"/>
    </xf>
    <xf numFmtId="4" fontId="11" fillId="4" borderId="174" xfId="0" applyNumberFormat="1" applyFont="1" applyFill="1" applyBorder="1" applyAlignment="1">
      <alignment horizontal="center" vertical="center" wrapText="1"/>
    </xf>
    <xf numFmtId="4" fontId="11" fillId="4" borderId="172" xfId="0" applyNumberFormat="1" applyFont="1" applyFill="1" applyBorder="1" applyAlignment="1">
      <alignment horizontal="center" vertical="center" wrapText="1"/>
    </xf>
    <xf numFmtId="4" fontId="11" fillId="4" borderId="44" xfId="0" applyNumberFormat="1" applyFont="1" applyFill="1" applyBorder="1" applyAlignment="1">
      <alignment horizontal="center" vertical="center" wrapText="1"/>
    </xf>
    <xf numFmtId="4" fontId="11" fillId="4" borderId="45" xfId="0" applyNumberFormat="1" applyFont="1" applyFill="1" applyBorder="1" applyAlignment="1">
      <alignment horizontal="center" vertical="center" wrapText="1"/>
    </xf>
    <xf numFmtId="0" fontId="11" fillId="3" borderId="159" xfId="0" applyFont="1" applyFill="1" applyBorder="1" applyAlignment="1" applyProtection="1">
      <alignment horizontal="left" vertical="center" wrapText="1"/>
      <protection locked="0"/>
    </xf>
    <xf numFmtId="0" fontId="11" fillId="3" borderId="164" xfId="0" applyFont="1" applyFill="1" applyBorder="1" applyAlignment="1" applyProtection="1">
      <alignment horizontal="left" vertical="center" wrapText="1"/>
      <protection locked="0"/>
    </xf>
    <xf numFmtId="0" fontId="11" fillId="3" borderId="167" xfId="0" applyFont="1" applyFill="1" applyBorder="1" applyAlignment="1" applyProtection="1">
      <alignment horizontal="left" vertical="center" wrapText="1"/>
      <protection locked="0"/>
    </xf>
    <xf numFmtId="4" fontId="11" fillId="4" borderId="173" xfId="0" applyNumberFormat="1" applyFont="1" applyFill="1" applyBorder="1" applyAlignment="1" applyProtection="1">
      <alignment horizontal="center" vertical="center" wrapText="1"/>
      <protection locked="0"/>
    </xf>
    <xf numFmtId="0" fontId="11" fillId="0" borderId="96" xfId="0" applyFont="1" applyBorder="1" applyAlignment="1">
      <alignment horizontal="center" vertical="center" wrapText="1"/>
    </xf>
    <xf numFmtId="0" fontId="11" fillId="0" borderId="97" xfId="0" applyFont="1" applyBorder="1" applyAlignment="1">
      <alignment horizontal="center" vertical="center" wrapText="1"/>
    </xf>
    <xf numFmtId="0" fontId="11" fillId="0" borderId="98" xfId="0" applyFont="1" applyBorder="1" applyAlignment="1">
      <alignment horizontal="center" vertical="center" wrapText="1"/>
    </xf>
    <xf numFmtId="0" fontId="20" fillId="0" borderId="96" xfId="0" applyFont="1" applyBorder="1" applyAlignment="1">
      <alignment horizontal="center" vertical="center" wrapText="1"/>
    </xf>
    <xf numFmtId="0" fontId="20" fillId="0" borderId="97" xfId="0" applyFont="1" applyBorder="1" applyAlignment="1">
      <alignment horizontal="center" vertical="center" wrapText="1"/>
    </xf>
    <xf numFmtId="0" fontId="20" fillId="0" borderId="98"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9" xfId="0" applyFont="1" applyBorder="1" applyAlignment="1">
      <alignment horizontal="center" vertical="center" wrapText="1"/>
    </xf>
    <xf numFmtId="4" fontId="11" fillId="4" borderId="163" xfId="0" applyNumberFormat="1" applyFont="1" applyFill="1" applyBorder="1" applyAlignment="1">
      <alignment horizontal="center" vertical="center" wrapText="1"/>
    </xf>
    <xf numFmtId="4" fontId="11" fillId="4" borderId="187" xfId="0" applyNumberFormat="1" applyFont="1" applyFill="1" applyBorder="1" applyAlignment="1">
      <alignment horizontal="center" vertical="center" wrapText="1"/>
    </xf>
    <xf numFmtId="4" fontId="20" fillId="4" borderId="112" xfId="0" applyNumberFormat="1" applyFont="1" applyFill="1" applyBorder="1" applyAlignment="1">
      <alignment horizontal="center" vertical="center" wrapText="1"/>
    </xf>
    <xf numFmtId="4" fontId="20" fillId="4" borderId="3" xfId="0" applyNumberFormat="1" applyFont="1" applyFill="1" applyBorder="1" applyAlignment="1">
      <alignment horizontal="center" vertical="center" wrapText="1"/>
    </xf>
    <xf numFmtId="4" fontId="20" fillId="4" borderId="119" xfId="0" applyNumberFormat="1" applyFont="1" applyFill="1" applyBorder="1" applyAlignment="1">
      <alignment horizontal="center" vertical="center" wrapText="1"/>
    </xf>
    <xf numFmtId="0" fontId="33" fillId="3" borderId="181" xfId="0" applyFont="1" applyFill="1" applyBorder="1" applyAlignment="1">
      <alignment horizontal="center" vertical="center" wrapText="1"/>
    </xf>
    <xf numFmtId="0" fontId="33" fillId="3" borderId="164" xfId="0" applyFont="1" applyFill="1" applyBorder="1" applyAlignment="1">
      <alignment horizontal="center" vertical="center" wrapText="1"/>
    </xf>
    <xf numFmtId="0" fontId="33" fillId="3" borderId="184" xfId="0" applyFont="1" applyFill="1" applyBorder="1" applyAlignment="1">
      <alignment horizontal="center" vertical="center" wrapText="1"/>
    </xf>
    <xf numFmtId="0" fontId="33" fillId="0" borderId="182" xfId="0" applyFont="1" applyBorder="1" applyAlignment="1">
      <alignment horizontal="center" vertical="center" wrapText="1"/>
    </xf>
    <xf numFmtId="0" fontId="33" fillId="0" borderId="165" xfId="0" applyFont="1" applyBorder="1" applyAlignment="1">
      <alignment horizontal="center" vertical="center" wrapText="1"/>
    </xf>
    <xf numFmtId="0" fontId="33" fillId="0" borderId="185" xfId="0" applyFont="1" applyBorder="1" applyAlignment="1">
      <alignment horizontal="center" vertical="center" wrapText="1"/>
    </xf>
    <xf numFmtId="0" fontId="33" fillId="0" borderId="183" xfId="0" applyFont="1" applyBorder="1" applyAlignment="1">
      <alignment horizontal="center" vertical="center" wrapText="1"/>
    </xf>
    <xf numFmtId="0" fontId="33" fillId="0" borderId="166" xfId="0" applyFont="1" applyBorder="1" applyAlignment="1">
      <alignment horizontal="center" vertical="center" wrapText="1"/>
    </xf>
    <xf numFmtId="0" fontId="33" fillId="0" borderId="186" xfId="0" applyFont="1" applyBorder="1" applyAlignment="1">
      <alignment horizontal="center" vertical="center" wrapText="1"/>
    </xf>
    <xf numFmtId="4" fontId="33" fillId="4" borderId="124" xfId="0" applyNumberFormat="1" applyFont="1" applyFill="1" applyBorder="1" applyAlignment="1" applyProtection="1">
      <alignment horizontal="center" vertical="center" wrapText="1"/>
      <protection locked="0"/>
    </xf>
    <xf numFmtId="4" fontId="33" fillId="4" borderId="41" xfId="0" applyNumberFormat="1" applyFont="1" applyFill="1" applyBorder="1" applyAlignment="1" applyProtection="1">
      <alignment horizontal="center" vertical="center" wrapText="1"/>
      <protection locked="0"/>
    </xf>
    <xf numFmtId="4" fontId="33" fillId="4" borderId="126" xfId="0" applyNumberFormat="1" applyFont="1" applyFill="1" applyBorder="1" applyAlignment="1" applyProtection="1">
      <alignment horizontal="center" vertical="center" wrapText="1"/>
      <protection locked="0"/>
    </xf>
    <xf numFmtId="4" fontId="33" fillId="0" borderId="99" xfId="0" applyNumberFormat="1" applyFont="1" applyBorder="1" applyAlignment="1" applyProtection="1">
      <alignment horizontal="center" vertical="center" wrapText="1"/>
      <protection locked="0"/>
    </xf>
    <xf numFmtId="4" fontId="33" fillId="0" borderId="42" xfId="0" applyNumberFormat="1" applyFont="1" applyBorder="1" applyAlignment="1" applyProtection="1">
      <alignment horizontal="center" vertical="center" wrapText="1"/>
      <protection locked="0"/>
    </xf>
    <xf numFmtId="4" fontId="33" fillId="0" borderId="100" xfId="0" applyNumberFormat="1" applyFont="1" applyBorder="1" applyAlignment="1" applyProtection="1">
      <alignment horizontal="center" vertical="center" wrapText="1"/>
      <protection locked="0"/>
    </xf>
    <xf numFmtId="4" fontId="33" fillId="0" borderId="131" xfId="0" applyNumberFormat="1" applyFont="1" applyBorder="1" applyAlignment="1" applyProtection="1">
      <alignment horizontal="center" vertical="center" wrapText="1"/>
      <protection locked="0"/>
    </xf>
    <xf numFmtId="4" fontId="33" fillId="0" borderId="0" xfId="0" applyNumberFormat="1" applyFont="1" applyAlignment="1" applyProtection="1">
      <alignment horizontal="center" vertical="center" wrapText="1"/>
      <protection locked="0"/>
    </xf>
    <xf numFmtId="4" fontId="33" fillId="0" borderId="130" xfId="0" applyNumberFormat="1" applyFont="1" applyBorder="1" applyAlignment="1" applyProtection="1">
      <alignment horizontal="center" vertical="center" wrapText="1"/>
      <protection locked="0"/>
    </xf>
    <xf numFmtId="4" fontId="20" fillId="6" borderId="197" xfId="0" applyNumberFormat="1" applyFont="1" applyFill="1" applyBorder="1" applyAlignment="1">
      <alignment horizontal="center" vertical="center" wrapText="1"/>
    </xf>
    <xf numFmtId="4" fontId="20" fillId="6" borderId="203" xfId="0" applyNumberFormat="1" applyFont="1" applyFill="1" applyBorder="1" applyAlignment="1">
      <alignment horizontal="center" vertical="center" wrapText="1"/>
    </xf>
    <xf numFmtId="4" fontId="20" fillId="6" borderId="204" xfId="0" applyNumberFormat="1" applyFont="1" applyFill="1" applyBorder="1" applyAlignment="1">
      <alignment horizontal="center" vertical="center" wrapText="1"/>
    </xf>
    <xf numFmtId="0" fontId="11" fillId="3" borderId="96" xfId="0" applyFont="1" applyFill="1" applyBorder="1" applyAlignment="1" applyProtection="1">
      <alignment horizontal="center" vertical="center" wrapText="1"/>
      <protection locked="0"/>
    </xf>
    <xf numFmtId="0" fontId="11" fillId="3" borderId="97" xfId="0" applyFont="1" applyFill="1" applyBorder="1" applyAlignment="1" applyProtection="1">
      <alignment horizontal="center" vertical="center" wrapText="1"/>
      <protection locked="0"/>
    </xf>
    <xf numFmtId="0" fontId="11" fillId="3" borderId="98" xfId="0" applyFont="1" applyFill="1" applyBorder="1" applyAlignment="1" applyProtection="1">
      <alignment horizontal="center" vertical="center" wrapText="1"/>
      <protection locked="0"/>
    </xf>
    <xf numFmtId="4" fontId="11" fillId="9" borderId="144" xfId="0" applyNumberFormat="1" applyFont="1" applyFill="1" applyBorder="1" applyAlignment="1">
      <alignment horizontal="center" vertical="center" wrapText="1"/>
    </xf>
    <xf numFmtId="4" fontId="11" fillId="9" borderId="145" xfId="0" applyNumberFormat="1" applyFont="1" applyFill="1" applyBorder="1" applyAlignment="1">
      <alignment horizontal="center" vertical="center" wrapText="1"/>
    </xf>
    <xf numFmtId="4" fontId="11" fillId="9" borderId="146" xfId="0" applyNumberFormat="1" applyFont="1" applyFill="1" applyBorder="1" applyAlignment="1">
      <alignment horizontal="center" vertical="center" wrapText="1"/>
    </xf>
    <xf numFmtId="0" fontId="11" fillId="3" borderId="159" xfId="0" applyFont="1" applyFill="1" applyBorder="1" applyAlignment="1" applyProtection="1">
      <alignment horizontal="center" vertical="center" wrapText="1"/>
      <protection locked="0"/>
    </xf>
    <xf numFmtId="0" fontId="20" fillId="3" borderId="167" xfId="0" applyFont="1" applyFill="1" applyBorder="1" applyAlignment="1" applyProtection="1">
      <alignment horizontal="center" vertical="center" wrapText="1"/>
      <protection locked="0"/>
    </xf>
    <xf numFmtId="0" fontId="20" fillId="0" borderId="168" xfId="0" applyFont="1" applyBorder="1" applyAlignment="1">
      <alignment horizontal="center" vertical="center" wrapText="1"/>
    </xf>
    <xf numFmtId="0" fontId="20" fillId="0" borderId="169" xfId="0" applyFont="1" applyBorder="1" applyAlignment="1">
      <alignment horizontal="center" vertical="center" wrapText="1"/>
    </xf>
    <xf numFmtId="4" fontId="2" fillId="4" borderId="207" xfId="0" applyNumberFormat="1" applyFont="1" applyFill="1" applyBorder="1" applyAlignment="1" applyProtection="1">
      <alignment horizontal="center" vertical="center" wrapText="1"/>
      <protection locked="0"/>
    </xf>
    <xf numFmtId="4" fontId="2" fillId="4" borderId="210" xfId="0" applyNumberFormat="1" applyFont="1" applyFill="1" applyBorder="1" applyAlignment="1" applyProtection="1">
      <alignment horizontal="center" vertical="center" wrapText="1"/>
      <protection locked="0"/>
    </xf>
    <xf numFmtId="4" fontId="2" fillId="4" borderId="213" xfId="0" applyNumberFormat="1" applyFont="1" applyFill="1" applyBorder="1" applyAlignment="1" applyProtection="1">
      <alignment horizontal="center" vertical="center" wrapText="1"/>
      <protection locked="0"/>
    </xf>
    <xf numFmtId="4" fontId="5" fillId="2" borderId="239" xfId="0" applyNumberFormat="1" applyFont="1" applyFill="1" applyBorder="1" applyAlignment="1" applyProtection="1">
      <alignment horizontal="center" vertical="center"/>
      <protection locked="0"/>
    </xf>
    <xf numFmtId="4" fontId="5" fillId="2" borderId="240" xfId="0" applyNumberFormat="1" applyFont="1" applyFill="1" applyBorder="1" applyAlignment="1" applyProtection="1">
      <alignment horizontal="center" vertical="center"/>
      <protection locked="0"/>
    </xf>
    <xf numFmtId="0" fontId="2" fillId="0" borderId="244" xfId="0" applyFont="1" applyBorder="1" applyAlignment="1">
      <alignment horizontal="center" vertical="center" wrapText="1"/>
    </xf>
    <xf numFmtId="0" fontId="11" fillId="3" borderId="124"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3" borderId="126" xfId="0" applyFont="1" applyFill="1" applyBorder="1" applyAlignment="1" applyProtection="1">
      <alignment horizontal="center" vertical="center" wrapText="1"/>
      <protection locked="0"/>
    </xf>
    <xf numFmtId="0" fontId="14" fillId="0" borderId="64" xfId="5" applyFont="1" applyBorder="1" applyAlignment="1">
      <alignment horizontal="center" vertical="center" textRotation="90" wrapText="1"/>
    </xf>
    <xf numFmtId="0" fontId="14" fillId="0" borderId="76" xfId="5" applyFont="1" applyBorder="1" applyAlignment="1">
      <alignment horizontal="center" vertical="center" textRotation="90" wrapText="1"/>
    </xf>
    <xf numFmtId="0" fontId="14" fillId="0" borderId="23" xfId="5" applyFont="1" applyBorder="1" applyAlignment="1">
      <alignment horizontal="center" vertical="center" textRotation="90" wrapText="1"/>
    </xf>
    <xf numFmtId="0" fontId="14" fillId="0" borderId="23"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12" borderId="70" xfId="5" applyFont="1" applyFill="1" applyBorder="1" applyAlignment="1">
      <alignment horizontal="center"/>
    </xf>
    <xf numFmtId="0" fontId="14" fillId="12" borderId="71" xfId="5" applyFont="1" applyFill="1" applyBorder="1" applyAlignment="1">
      <alignment horizontal="center"/>
    </xf>
    <xf numFmtId="0" fontId="14" fillId="12" borderId="72" xfId="5" applyFont="1" applyFill="1" applyBorder="1" applyAlignment="1">
      <alignment horizontal="center"/>
    </xf>
    <xf numFmtId="0" fontId="17" fillId="0" borderId="65"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4" fillId="12" borderId="79" xfId="5" applyFont="1" applyFill="1" applyBorder="1" applyAlignment="1">
      <alignment horizontal="center"/>
    </xf>
    <xf numFmtId="0" fontId="14" fillId="12" borderId="81" xfId="5" applyFont="1" applyFill="1" applyBorder="1" applyAlignment="1">
      <alignment horizontal="center"/>
    </xf>
    <xf numFmtId="0" fontId="14" fillId="12" borderId="82" xfId="5" applyFont="1" applyFill="1" applyBorder="1" applyAlignment="1">
      <alignment horizontal="center"/>
    </xf>
    <xf numFmtId="0" fontId="14" fillId="0" borderId="75" xfId="5" applyFont="1" applyBorder="1" applyAlignment="1">
      <alignment horizontal="center" vertical="center" wrapText="1"/>
    </xf>
    <xf numFmtId="0" fontId="14" fillId="0" borderId="66" xfId="5" applyFont="1" applyBorder="1" applyAlignment="1">
      <alignment horizontal="center" vertical="center" wrapText="1"/>
    </xf>
    <xf numFmtId="0" fontId="3" fillId="0" borderId="0" xfId="0" applyFont="1" applyAlignment="1">
      <alignment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8131">
    <dxf>
      <fill>
        <patternFill>
          <bgColor rgb="FF92D050"/>
        </patternFill>
      </fill>
    </dxf>
    <dxf>
      <fill>
        <patternFill>
          <bgColor rgb="FFFF000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rgb="FF00B05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FFFF66"/>
        </patternFill>
      </fill>
    </dxf>
    <dxf>
      <fill>
        <patternFill>
          <bgColor rgb="FFFFC000"/>
        </patternFill>
      </fill>
    </dxf>
    <dxf>
      <fill>
        <patternFill>
          <bgColor rgb="FFFFFF00"/>
        </patternFill>
      </fill>
    </dxf>
    <dxf>
      <fill>
        <patternFill>
          <bgColor rgb="FFFFC0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ont>
        <color auto="1"/>
      </font>
      <fill>
        <patternFill>
          <bgColor rgb="FF92D050"/>
        </patternFill>
      </fill>
    </dxf>
    <dxf>
      <fill>
        <patternFill>
          <bgColor rgb="FF00B05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FF00"/>
        </patternFill>
      </fill>
    </dxf>
    <dxf>
      <fill>
        <patternFill>
          <bgColor theme="9"/>
        </patternFill>
      </fill>
    </dxf>
    <dxf>
      <fill>
        <patternFill>
          <bgColor theme="9" tint="0.79998168889431442"/>
        </patternFill>
      </fill>
    </dxf>
    <dxf>
      <fill>
        <patternFill>
          <bgColor rgb="FF00B050"/>
        </patternFill>
      </fill>
    </dxf>
    <dxf>
      <fill>
        <patternFill>
          <bgColor rgb="FF00B050"/>
        </patternFill>
      </fill>
    </dxf>
    <dxf>
      <fill>
        <patternFill>
          <bgColor theme="9" tint="0.39994506668294322"/>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ont>
        <color auto="1"/>
      </font>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ont>
        <color auto="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FFFF66"/>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0000"/>
        </patternFill>
      </fill>
    </dxf>
    <dxf>
      <fill>
        <patternFill>
          <bgColor theme="9" tint="0.79998168889431442"/>
        </patternFill>
      </fill>
    </dxf>
    <dxf>
      <fill>
        <patternFill>
          <bgColor theme="9"/>
        </patternFill>
      </fill>
    </dxf>
    <dxf>
      <fill>
        <patternFill>
          <bgColor rgb="FF00B05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tint="0.79998168889431442"/>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theme="9"/>
        </patternFill>
      </fill>
    </dxf>
    <dxf>
      <fill>
        <patternFill>
          <bgColor rgb="FF00B050"/>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rgb="FFFFFF66"/>
        </patternFill>
      </fill>
    </dxf>
    <dxf>
      <fill>
        <patternFill>
          <bgColor rgb="FFFFFF00"/>
        </patternFill>
      </fill>
    </dxf>
    <dxf>
      <fill>
        <patternFill>
          <bgColor theme="9"/>
        </patternFill>
      </fill>
    </dxf>
    <dxf>
      <font>
        <color auto="1"/>
      </font>
      <fill>
        <patternFill>
          <bgColor rgb="FF92D050"/>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FFC000"/>
        </patternFill>
      </fill>
    </dxf>
    <dxf>
      <fill>
        <patternFill>
          <bgColor rgb="FF00B050"/>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00B050"/>
        </patternFill>
      </fill>
    </dxf>
    <dxf>
      <fill>
        <patternFill>
          <bgColor theme="9" tint="0.39994506668294322"/>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9"/>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C000"/>
        </patternFill>
      </fill>
    </dxf>
    <dxf>
      <fill>
        <patternFill>
          <bgColor theme="9"/>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b val="0"/>
        <i val="0"/>
      </font>
      <fill>
        <patternFill>
          <bgColor rgb="FFFF0000"/>
        </patternFill>
      </fill>
    </dxf>
    <dxf>
      <fill>
        <patternFill>
          <bgColor rgb="FFFF6600"/>
        </patternFill>
      </fill>
    </dxf>
    <dxf>
      <fill>
        <patternFill>
          <bgColor rgb="FFADDB7B"/>
        </patternFill>
      </fill>
    </dxf>
    <dxf>
      <fill>
        <patternFill>
          <bgColor rgb="FF92D050"/>
        </patternFill>
      </fill>
    </dxf>
    <dxf>
      <fill>
        <patternFill>
          <bgColor rgb="FFFFFF00"/>
        </patternFill>
      </fill>
    </dxf>
    <dxf>
      <fill>
        <patternFill>
          <bgColor rgb="FFFFFF5D"/>
        </patternFill>
      </fill>
    </dxf>
    <dxf>
      <fill>
        <patternFill>
          <bgColor rgb="FFFF0000"/>
        </patternFill>
      </fill>
    </dxf>
    <dxf>
      <fill>
        <patternFill>
          <bgColor rgb="FFFFC000"/>
        </patternFill>
      </fill>
    </dxf>
    <dxf>
      <fill>
        <patternFill>
          <bgColor rgb="FF92D050"/>
        </patternFill>
      </fill>
    </dxf>
    <dxf>
      <fill>
        <patternFill>
          <bgColor rgb="FFFFFF00"/>
        </patternFill>
      </fill>
    </dxf>
    <dxf>
      <font>
        <b val="0"/>
        <i val="0"/>
      </font>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6600"/>
        </patternFill>
      </fill>
    </dxf>
    <dxf>
      <fill>
        <patternFill>
          <bgColor rgb="FF92D050"/>
        </patternFill>
      </fill>
    </dxf>
    <dxf>
      <fill>
        <patternFill>
          <bgColor rgb="FF92D050"/>
        </patternFill>
      </fill>
    </dxf>
    <dxf>
      <fill>
        <patternFill>
          <bgColor rgb="FFFF6600"/>
        </patternFill>
      </fill>
    </dxf>
    <dxf>
      <font>
        <b val="0"/>
        <i val="0"/>
      </font>
      <fill>
        <patternFill>
          <bgColor rgb="FFFF0000"/>
        </patternFill>
      </fill>
    </dxf>
    <dxf>
      <fill>
        <patternFill>
          <bgColor rgb="FFADDB7B"/>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59996337778862885"/>
        </patternFill>
      </fill>
    </dxf>
    <dxf>
      <fill>
        <patternFill>
          <bgColor rgb="FF00B050"/>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59996337778862885"/>
        </patternFill>
      </fill>
    </dxf>
    <dxf>
      <fill>
        <patternFill>
          <bgColor rgb="FFFF0000"/>
        </patternFill>
      </fill>
    </dxf>
    <dxf>
      <fill>
        <patternFill>
          <bgColor theme="9"/>
        </patternFill>
      </fill>
    </dxf>
    <dxf>
      <fill>
        <patternFill>
          <bgColor rgb="FFFF0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FF66"/>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rgb="FFFFC000"/>
        </patternFill>
      </fill>
    </dxf>
    <dxf>
      <fill>
        <patternFill>
          <bgColor rgb="FFFFFF00"/>
        </patternFill>
      </fill>
    </dxf>
    <dxf>
      <fill>
        <patternFill>
          <bgColor rgb="FFFFFF66"/>
        </patternFill>
      </fill>
    </dxf>
    <dxf>
      <fill>
        <patternFill>
          <bgColor theme="9" tint="0.39994506668294322"/>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rgb="FFFF0000"/>
        </patternFill>
      </fill>
    </dxf>
    <dxf>
      <fill>
        <patternFill>
          <bgColor rgb="FF00B05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theme="9" tint="0.59996337778862885"/>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theme="9"/>
        </patternFill>
      </fill>
    </dxf>
    <dxf>
      <fill>
        <patternFill>
          <bgColor rgb="FF00B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FFC000"/>
        </patternFill>
      </fill>
    </dxf>
    <dxf>
      <fill>
        <patternFill>
          <bgColor rgb="FFFF0000"/>
        </patternFill>
      </fill>
    </dxf>
    <dxf>
      <fill>
        <patternFill>
          <bgColor rgb="FFFFFF66"/>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theme="9" tint="0.59996337778862885"/>
        </patternFill>
      </fill>
    </dxf>
    <dxf>
      <fill>
        <patternFill>
          <bgColor theme="9" tint="0.79998168889431442"/>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C000"/>
        </patternFill>
      </fill>
    </dxf>
    <dxf>
      <fill>
        <patternFill>
          <bgColor theme="9" tint="0.79998168889431442"/>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71"/>
        </patternFill>
      </fill>
    </dxf>
    <dxf>
      <fill>
        <patternFill>
          <bgColor theme="7"/>
        </patternFill>
      </fill>
    </dxf>
    <dxf>
      <fill>
        <patternFill>
          <bgColor rgb="FF92D050"/>
        </patternFill>
      </fill>
    </dxf>
    <dxf>
      <fill>
        <patternFill>
          <bgColor rgb="FFFF000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0000"/>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FF000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FF0000"/>
        </patternFill>
      </fill>
    </dxf>
    <dxf>
      <fill>
        <patternFill>
          <bgColor theme="7"/>
        </patternFill>
      </fill>
    </dxf>
    <dxf>
      <fill>
        <patternFill>
          <bgColor rgb="FFFF000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FFFF71"/>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rgb="FF92D050"/>
        </patternFill>
      </fill>
    </dxf>
    <dxf>
      <fill>
        <patternFill>
          <bgColor rgb="FFFFFF4B"/>
        </patternFill>
      </fill>
    </dxf>
    <dxf>
      <fill>
        <patternFill>
          <bgColor rgb="FFABDB77"/>
        </patternFill>
      </fill>
    </dxf>
    <dxf>
      <fill>
        <patternFill>
          <bgColor theme="7"/>
        </patternFill>
      </fill>
    </dxf>
    <dxf>
      <fill>
        <patternFill>
          <bgColor rgb="FFFF000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theme="7"/>
        </patternFill>
      </fill>
    </dxf>
    <dxf>
      <fill>
        <patternFill>
          <bgColor rgb="FFABDB77"/>
        </patternFill>
      </fill>
    </dxf>
    <dxf>
      <fill>
        <patternFill>
          <bgColor rgb="FF92D05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rgb="FFABDB77"/>
        </patternFill>
      </fill>
    </dxf>
    <dxf>
      <fill>
        <patternFill>
          <bgColor rgb="FFFF0000"/>
        </patternFill>
      </fill>
    </dxf>
    <dxf>
      <fill>
        <patternFill>
          <bgColor rgb="FF92D050"/>
        </patternFill>
      </fill>
    </dxf>
    <dxf>
      <fill>
        <patternFill>
          <bgColor theme="7"/>
        </patternFill>
      </fill>
    </dxf>
    <dxf>
      <fill>
        <patternFill>
          <bgColor rgb="FFFFFF4B"/>
        </patternFill>
      </fill>
    </dxf>
    <dxf>
      <fill>
        <patternFill>
          <bgColor theme="7"/>
        </patternFill>
      </fill>
    </dxf>
    <dxf>
      <fill>
        <patternFill>
          <bgColor rgb="FFFF0000"/>
        </patternFill>
      </fill>
    </dxf>
    <dxf>
      <fill>
        <patternFill>
          <bgColor rgb="FFABDB77"/>
        </patternFill>
      </fill>
    </dxf>
    <dxf>
      <fill>
        <patternFill>
          <bgColor rgb="FF92D050"/>
        </patternFill>
      </fill>
    </dxf>
    <dxf>
      <fill>
        <patternFill>
          <bgColor rgb="FFFFFF4B"/>
        </patternFill>
      </fill>
    </dxf>
    <dxf>
      <fill>
        <patternFill>
          <bgColor rgb="FFABDB77"/>
        </patternFill>
      </fill>
    </dxf>
    <dxf>
      <fill>
        <patternFill>
          <bgColor rgb="FFFFFF4B"/>
        </patternFill>
      </fill>
    </dxf>
    <dxf>
      <fill>
        <patternFill>
          <bgColor theme="7"/>
        </patternFill>
      </fill>
    </dxf>
    <dxf>
      <fill>
        <patternFill>
          <bgColor rgb="FF92D050"/>
        </patternFill>
      </fill>
    </dxf>
    <dxf>
      <fill>
        <patternFill>
          <bgColor rgb="FFFF0000"/>
        </patternFill>
      </fill>
    </dxf>
    <dxf>
      <fill>
        <patternFill>
          <bgColor rgb="FFABDB77"/>
        </patternFill>
      </fill>
    </dxf>
    <dxf>
      <fill>
        <patternFill>
          <bgColor rgb="FFFF0000"/>
        </patternFill>
      </fill>
    </dxf>
    <dxf>
      <fill>
        <patternFill>
          <bgColor theme="7"/>
        </patternFill>
      </fill>
    </dxf>
    <dxf>
      <fill>
        <patternFill>
          <bgColor rgb="FF92D050"/>
        </patternFill>
      </fill>
    </dxf>
    <dxf>
      <fill>
        <patternFill>
          <bgColor rgb="FFFFFF4B"/>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92D050"/>
        </patternFill>
      </fill>
    </dxf>
    <dxf>
      <fill>
        <patternFill>
          <bgColor rgb="FFABDB77"/>
        </patternFill>
      </fill>
    </dxf>
    <dxf>
      <fill>
        <patternFill>
          <bgColor rgb="FF92D05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92D050"/>
        </patternFill>
      </fill>
    </dxf>
    <dxf>
      <fill>
        <patternFill>
          <bgColor rgb="FFABDB77"/>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92D050"/>
        </patternFill>
      </fill>
    </dxf>
    <dxf>
      <fill>
        <patternFill>
          <bgColor theme="9" tint="0.59996337778862885"/>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ADDB7B"/>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0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rgb="FFADDB7B"/>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92D050"/>
        </patternFill>
      </fill>
    </dxf>
    <dxf>
      <fill>
        <patternFill>
          <bgColor rgb="FFFFFF00"/>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00"/>
        </patternFill>
      </fill>
    </dxf>
    <dxf>
      <fill>
        <patternFill>
          <bgColor rgb="FFFFFF5D"/>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92D05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ADDB7B"/>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39994506668294322"/>
        </patternFill>
      </fill>
    </dxf>
    <dxf>
      <fill>
        <patternFill>
          <bgColor rgb="FFFF0000"/>
        </patternFill>
      </fill>
    </dxf>
    <dxf>
      <fill>
        <patternFill>
          <bgColor theme="9" tint="0.79998168889431442"/>
        </patternFill>
      </fill>
    </dxf>
    <dxf>
      <fill>
        <patternFill>
          <bgColor rgb="FF00B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0000"/>
        </patternFill>
      </fill>
    </dxf>
    <dxf>
      <fill>
        <patternFill>
          <bgColor rgb="FFADDB7B"/>
        </patternFill>
      </fill>
    </dxf>
    <dxf>
      <fill>
        <patternFill>
          <bgColor rgb="FFFFFF5D"/>
        </patternFill>
      </fill>
    </dxf>
    <dxf>
      <fill>
        <patternFill>
          <bgColor rgb="FFFFC000"/>
        </patternFill>
      </fill>
    </dxf>
    <dxf>
      <fill>
        <patternFill>
          <bgColor rgb="FFFFFF00"/>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ADDB7B"/>
        </patternFill>
      </fill>
    </dxf>
    <dxf>
      <fill>
        <patternFill>
          <bgColor rgb="FF92D050"/>
        </patternFill>
      </fill>
    </dxf>
    <dxf>
      <fill>
        <patternFill>
          <bgColor theme="9"/>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92D050"/>
        </patternFill>
      </fill>
    </dxf>
    <dxf>
      <font>
        <b val="0"/>
        <i val="0"/>
      </font>
      <fill>
        <patternFill>
          <bgColor rgb="FFFF0000"/>
        </patternFill>
      </fill>
    </dxf>
    <dxf>
      <fill>
        <patternFill>
          <bgColor rgb="FFFF6600"/>
        </patternFill>
      </fill>
    </dxf>
    <dxf>
      <fill>
        <patternFill>
          <bgColor rgb="FF92D050"/>
        </patternFill>
      </fill>
    </dxf>
    <dxf>
      <fill>
        <patternFill>
          <bgColor rgb="FFFFFF00"/>
        </patternFill>
      </fill>
    </dxf>
    <dxf>
      <fill>
        <patternFill>
          <bgColor rgb="FFFFFF5D"/>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ADDB7B"/>
        </patternFill>
      </fill>
    </dxf>
    <dxf>
      <fill>
        <patternFill>
          <bgColor rgb="FFFFC000"/>
        </patternFill>
      </fill>
    </dxf>
    <dxf>
      <fill>
        <patternFill>
          <bgColor theme="9" tint="0.79998168889431442"/>
        </patternFill>
      </fill>
    </dxf>
    <dxf>
      <fill>
        <patternFill>
          <bgColor rgb="FF92D050"/>
        </patternFill>
      </fill>
    </dxf>
    <dxf>
      <fill>
        <patternFill>
          <bgColor rgb="FFFF0000"/>
        </patternFill>
      </fill>
    </dxf>
    <dxf>
      <fill>
        <patternFill>
          <bgColor theme="9" tint="0.39994506668294322"/>
        </patternFill>
      </fill>
    </dxf>
    <dxf>
      <fill>
        <patternFill>
          <bgColor rgb="FF00B05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ADDB7B"/>
        </patternFill>
      </fill>
    </dxf>
    <dxf>
      <fill>
        <patternFill>
          <bgColor rgb="FF00B050"/>
        </patternFill>
      </fill>
    </dxf>
    <dxf>
      <fill>
        <patternFill>
          <bgColor rgb="FFFFFF5D"/>
        </patternFill>
      </fill>
    </dxf>
    <dxf>
      <fill>
        <patternFill>
          <bgColor rgb="FFFF000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92D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theme="9"/>
        </patternFill>
      </fill>
    </dxf>
    <dxf>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ADDB7B"/>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rgb="FFADDB7B"/>
        </patternFill>
      </fill>
    </dxf>
    <dxf>
      <fill>
        <patternFill>
          <bgColor rgb="FF92D05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FF00"/>
        </patternFill>
      </fill>
    </dxf>
    <dxf>
      <fill>
        <patternFill>
          <bgColor rgb="FFADDB7B"/>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FFFF5D"/>
        </patternFill>
      </fill>
    </dxf>
    <dxf>
      <fill>
        <patternFill>
          <bgColor theme="9" tint="0.79998168889431442"/>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00B050"/>
        </patternFill>
      </fill>
    </dxf>
    <dxf>
      <fill>
        <patternFill>
          <bgColor rgb="FFFFFF00"/>
        </patternFill>
      </fill>
    </dxf>
    <dxf>
      <fill>
        <patternFill>
          <bgColor theme="9" tint="0.39994506668294322"/>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92D050"/>
        </patternFill>
      </fill>
    </dxf>
    <dxf>
      <fill>
        <patternFill>
          <bgColor rgb="FFFFFF5D"/>
        </patternFill>
      </fill>
    </dxf>
    <dxf>
      <fill>
        <patternFill>
          <bgColor theme="9" tint="0.39994506668294322"/>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ADDB7B"/>
        </patternFill>
      </fill>
    </dxf>
    <dxf>
      <fill>
        <patternFill>
          <bgColor rgb="FFFFFF5D"/>
        </patternFill>
      </fill>
    </dxf>
    <dxf>
      <fill>
        <patternFill>
          <bgColor theme="9" tint="0.59996337778862885"/>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FF00"/>
        </patternFill>
      </fill>
    </dxf>
    <dxf>
      <fill>
        <patternFill>
          <bgColor rgb="FFFFC000"/>
        </patternFill>
      </fill>
    </dxf>
    <dxf>
      <fill>
        <patternFill>
          <bgColor rgb="FFFF0000"/>
        </patternFill>
      </fill>
    </dxf>
    <dxf>
      <font>
        <b val="0"/>
        <i val="0"/>
      </font>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theme="9" tint="0.3999450666829432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6600"/>
        </patternFill>
      </fill>
    </dxf>
    <dxf>
      <fill>
        <patternFill>
          <bgColor rgb="FF92D050"/>
        </patternFill>
      </fill>
    </dxf>
    <dxf>
      <fill>
        <patternFill>
          <bgColor rgb="FFADDB7B"/>
        </patternFill>
      </fill>
    </dxf>
    <dxf>
      <fill>
        <patternFill>
          <bgColor rgb="FF00B05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theme="9" tint="0.39994506668294322"/>
        </patternFill>
      </fill>
    </dxf>
    <dxf>
      <font>
        <b val="0"/>
        <i val="0"/>
      </font>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6600"/>
        </patternFill>
      </fill>
    </dxf>
    <dxf>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00B050"/>
        </patternFill>
      </fill>
    </dxf>
    <dxf>
      <fill>
        <patternFill>
          <bgColor rgb="FFFFFF5D"/>
        </patternFill>
      </fill>
    </dxf>
    <dxf>
      <fill>
        <patternFill>
          <bgColor rgb="FFFF0000"/>
        </patternFill>
      </fill>
    </dxf>
    <dxf>
      <fill>
        <patternFill>
          <bgColor rgb="FFADDB7B"/>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FF00"/>
        </patternFill>
      </fill>
    </dxf>
    <dxf>
      <fill>
        <patternFill>
          <bgColor rgb="FF92D050"/>
        </patternFill>
      </fill>
    </dxf>
    <dxf>
      <fill>
        <patternFill>
          <bgColor rgb="FFADDB7B"/>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theme="9"/>
        </patternFill>
      </fill>
    </dxf>
    <dxf>
      <fill>
        <patternFill>
          <bgColor rgb="FF00B050"/>
        </patternFill>
      </fill>
    </dxf>
    <dxf>
      <fill>
        <patternFill>
          <bgColor rgb="FFFFFF0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92D050"/>
        </patternFill>
      </fill>
    </dxf>
    <dxf>
      <fill>
        <patternFill>
          <bgColor rgb="FFFFFF00"/>
        </patternFill>
      </fill>
    </dxf>
    <dxf>
      <fill>
        <patternFill>
          <bgColor theme="9"/>
        </patternFill>
      </fill>
    </dxf>
    <dxf>
      <fill>
        <patternFill>
          <bgColor rgb="FFFFFF66"/>
        </patternFill>
      </fill>
    </dxf>
    <dxf>
      <fill>
        <patternFill>
          <bgColor rgb="FFFF0000"/>
        </patternFill>
      </fill>
    </dxf>
    <dxf>
      <fill>
        <patternFill>
          <bgColor rgb="FFFFC000"/>
        </patternFill>
      </fill>
    </dxf>
    <dxf>
      <fill>
        <patternFill>
          <bgColor theme="9" tint="0.59996337778862885"/>
        </patternFill>
      </fill>
    </dxf>
    <dxf>
      <fill>
        <patternFill>
          <bgColor theme="9" tint="0.79998168889431442"/>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ADDB7B"/>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theme="9" tint="0.39994506668294322"/>
        </patternFill>
      </fill>
    </dxf>
    <dxf>
      <fill>
        <patternFill>
          <bgColor rgb="FF00B050"/>
        </patternFill>
      </fill>
    </dxf>
    <dxf>
      <fill>
        <patternFill>
          <bgColor rgb="FF00B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ADDB7B"/>
        </patternFill>
      </fill>
    </dxf>
    <dxf>
      <fill>
        <patternFill>
          <bgColor rgb="FF92D050"/>
        </patternFill>
      </fill>
    </dxf>
    <dxf>
      <fill>
        <patternFill>
          <bgColor rgb="FF00B05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ADDB7B"/>
        </patternFill>
      </fill>
    </dxf>
    <dxf>
      <font>
        <color auto="1"/>
      </font>
      <fill>
        <patternFill>
          <bgColor rgb="FF92D050"/>
        </patternFill>
      </fill>
    </dxf>
    <dxf>
      <fill>
        <patternFill>
          <bgColor theme="9"/>
        </patternFill>
      </fill>
    </dxf>
    <dxf>
      <fill>
        <patternFill>
          <bgColor rgb="FFFFFF5D"/>
        </patternFill>
      </fill>
    </dxf>
    <dxf>
      <fill>
        <patternFill>
          <bgColor theme="9" tint="0.59996337778862885"/>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theme="9" tint="0.7999816888943144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FFFF66"/>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theme="9" tint="0.79998168889431442"/>
        </patternFill>
      </fill>
    </dxf>
    <dxf>
      <fill>
        <patternFill>
          <bgColor rgb="FFADDB7B"/>
        </patternFill>
      </fill>
    </dxf>
    <dxf>
      <fill>
        <patternFill>
          <bgColor theme="9" tint="0.39994506668294322"/>
        </patternFill>
      </fill>
    </dxf>
    <dxf>
      <fill>
        <patternFill>
          <bgColor rgb="FF00B05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ADDB7B"/>
        </patternFill>
      </fill>
    </dxf>
    <dxf>
      <fill>
        <patternFill>
          <bgColor theme="9" tint="0.39994506668294322"/>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92D050"/>
        </patternFill>
      </fill>
    </dxf>
    <dxf>
      <fill>
        <patternFill>
          <bgColor rgb="FFFFFF5D"/>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5D"/>
        </patternFill>
      </fill>
    </dxf>
    <dxf>
      <font>
        <color auto="1"/>
      </font>
      <fill>
        <patternFill>
          <bgColor rgb="FF92D050"/>
        </patternFill>
      </fill>
    </dxf>
    <dxf>
      <fill>
        <patternFill>
          <bgColor rgb="FFADDB7B"/>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theme="9" tint="0.39994506668294322"/>
        </patternFill>
      </fill>
    </dxf>
    <dxf>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ADDB7B"/>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theme="9"/>
        </patternFill>
      </fill>
    </dxf>
    <dxf>
      <fill>
        <patternFill>
          <bgColor rgb="FFFFFF66"/>
        </patternFill>
      </fill>
    </dxf>
    <dxf>
      <fill>
        <patternFill>
          <bgColor theme="9" tint="0.59996337778862885"/>
        </patternFill>
      </fill>
    </dxf>
    <dxf>
      <fill>
        <patternFill>
          <bgColor rgb="FFADDB7B"/>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39994506668294322"/>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ADDB7B"/>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rgb="FFFFFF5D"/>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ADDB7B"/>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ADDB7B"/>
        </patternFill>
      </fill>
    </dxf>
    <dxf>
      <fill>
        <patternFill>
          <bgColor theme="9"/>
        </patternFill>
      </fill>
    </dxf>
    <dxf>
      <fill>
        <patternFill>
          <bgColor rgb="FFFFFF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FFFF5D"/>
        </patternFill>
      </fill>
    </dxf>
    <dxf>
      <fill>
        <patternFill>
          <bgColor rgb="FFFFC000"/>
        </patternFill>
      </fill>
    </dxf>
    <dxf>
      <fill>
        <patternFill>
          <bgColor rgb="FF00B050"/>
        </patternFill>
      </fill>
    </dxf>
    <dxf>
      <fill>
        <patternFill>
          <bgColor rgb="FF92D050"/>
        </patternFill>
      </fill>
    </dxf>
    <dxf>
      <fill>
        <patternFill>
          <bgColor theme="9"/>
        </patternFill>
      </fill>
    </dxf>
    <dxf>
      <fill>
        <patternFill>
          <bgColor rgb="FFADDB7B"/>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theme="9"/>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FF5D"/>
        </patternFill>
      </fill>
    </dxf>
    <dxf>
      <fill>
        <patternFill>
          <bgColor rgb="FFADDB7B"/>
        </patternFill>
      </fill>
    </dxf>
    <dxf>
      <fill>
        <patternFill>
          <bgColor theme="9" tint="0.79998168889431442"/>
        </patternFill>
      </fill>
    </dxf>
    <dxf>
      <fill>
        <patternFill>
          <bgColor rgb="FF92D050"/>
        </patternFill>
      </fill>
    </dxf>
    <dxf>
      <fill>
        <patternFill>
          <bgColor rgb="FF00B050"/>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000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59996337778862885"/>
        </patternFill>
      </fill>
    </dxf>
    <dxf>
      <fill>
        <patternFill>
          <bgColor rgb="FFADDB7B"/>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ADDB7B"/>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ADDB7B"/>
        </patternFill>
      </fill>
    </dxf>
    <dxf>
      <fill>
        <patternFill>
          <bgColor rgb="FF92D050"/>
        </patternFill>
      </fill>
    </dxf>
    <dxf>
      <fill>
        <patternFill>
          <bgColor rgb="FF92D050"/>
        </patternFill>
      </fill>
    </dxf>
    <dxf>
      <fill>
        <patternFill>
          <bgColor rgb="FFFFFF5D"/>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92D050"/>
        </patternFill>
      </fill>
    </dxf>
    <dxf>
      <fill>
        <patternFill>
          <bgColor rgb="FFFFFF5D"/>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theme="9"/>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ADDB7B"/>
        </patternFill>
      </fill>
    </dxf>
    <dxf>
      <fill>
        <patternFill>
          <bgColor rgb="FF92D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ont>
        <color auto="1"/>
      </font>
      <fill>
        <patternFill>
          <bgColor rgb="FF92D050"/>
        </patternFill>
      </fill>
    </dxf>
    <dxf>
      <fill>
        <patternFill>
          <bgColor rgb="FFADDB7B"/>
        </patternFill>
      </fill>
    </dxf>
    <dxf>
      <fill>
        <patternFill>
          <bgColor rgb="FF92D050"/>
        </patternFill>
      </fill>
    </dxf>
    <dxf>
      <fill>
        <patternFill>
          <bgColor rgb="FFFF0000"/>
        </patternFill>
      </fill>
    </dxf>
    <dxf>
      <fill>
        <patternFill>
          <bgColor theme="9" tint="0.39994506668294322"/>
        </patternFill>
      </fill>
    </dxf>
    <dxf>
      <fill>
        <patternFill>
          <bgColor rgb="FFFF0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92D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5D"/>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rgb="FFFFFF66"/>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FF5D"/>
        </patternFill>
      </fill>
    </dxf>
    <dxf>
      <fill>
        <patternFill>
          <bgColor rgb="FF92D050"/>
        </patternFill>
      </fill>
    </dxf>
    <dxf>
      <fill>
        <patternFill>
          <bgColor rgb="FFFFFF00"/>
        </patternFill>
      </fill>
    </dxf>
    <dxf>
      <fill>
        <patternFill>
          <bgColor rgb="FFADDB7B"/>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rgb="FFFFFF5D"/>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66"/>
        </patternFill>
      </fill>
    </dxf>
    <dxf>
      <fill>
        <patternFill>
          <bgColor rgb="FFFF0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5D"/>
        </patternFill>
      </fill>
    </dxf>
    <dxf>
      <fill>
        <patternFill>
          <bgColor rgb="FFADDB7B"/>
        </patternFill>
      </fill>
    </dxf>
    <dxf>
      <fill>
        <patternFill>
          <bgColor rgb="FFFFC000"/>
        </patternFill>
      </fill>
    </dxf>
    <dxf>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92D050"/>
        </patternFill>
      </fill>
    </dxf>
    <dxf>
      <fill>
        <patternFill>
          <bgColor rgb="FF00B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ADDB7B"/>
        </patternFill>
      </fill>
    </dxf>
    <dxf>
      <fill>
        <patternFill>
          <bgColor theme="9"/>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0000"/>
        </patternFill>
      </fill>
    </dxf>
    <dxf>
      <fill>
        <patternFill>
          <bgColor theme="9" tint="0.59996337778862885"/>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66"/>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0000"/>
        </patternFill>
      </fill>
    </dxf>
    <dxf>
      <font>
        <color auto="1"/>
      </font>
      <fill>
        <patternFill>
          <bgColor rgb="FF92D050"/>
        </patternFill>
      </fill>
    </dxf>
    <dxf>
      <fill>
        <patternFill>
          <bgColor rgb="FFFFFF5D"/>
        </patternFill>
      </fill>
    </dxf>
    <dxf>
      <fill>
        <patternFill>
          <bgColor rgb="FFFFFF00"/>
        </patternFill>
      </fill>
    </dxf>
    <dxf>
      <fill>
        <patternFill>
          <bgColor rgb="FFFFFF66"/>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ADDB7B"/>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theme="9"/>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ill>
        <patternFill>
          <bgColor rgb="FFFFFF5D"/>
        </patternFill>
      </fill>
    </dxf>
    <dxf>
      <font>
        <color auto="1"/>
      </font>
      <fill>
        <patternFill>
          <bgColor rgb="FF92D050"/>
        </patternFill>
      </fill>
    </dxf>
    <dxf>
      <fill>
        <patternFill>
          <bgColor rgb="FFFFFF00"/>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FF66"/>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92D05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ill>
        <patternFill>
          <bgColor rgb="FF92D05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92D05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92D050"/>
        </patternFill>
      </fill>
    </dxf>
    <dxf>
      <font>
        <color auto="1"/>
      </font>
      <fill>
        <patternFill>
          <bgColor rgb="FFAFDC7E"/>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customXml" Target="../customXml/item3.xml"/><Relationship Id="rId21" Type="http://schemas.openxmlformats.org/officeDocument/2006/relationships/externalLink" Target="externalLinks/externalLink17.xml"/><Relationship Id="rId34" Type="http://schemas.openxmlformats.org/officeDocument/2006/relationships/sharedStrings" Target="sharedString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sheetMetadata" Target="metadata.xml"/><Relationship Id="rId8" Type="http://schemas.openxmlformats.org/officeDocument/2006/relationships/externalLink" Target="externalLinks/externalLink4.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1798810</xdr:colOff>
      <xdr:row>0</xdr:row>
      <xdr:rowOff>70082</xdr:rowOff>
    </xdr:from>
    <xdr:to>
      <xdr:col>2</xdr:col>
      <xdr:colOff>2246090</xdr:colOff>
      <xdr:row>3</xdr:row>
      <xdr:rowOff>37385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1685" y="70082"/>
          <a:ext cx="447280" cy="63405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 Id="rId1"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s>
</file>

<file path=xl/externalLinks/_rels/externalLink1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CR%20-GESTI&#211;N%20DE%20DERECHOS%20TERRITORIALES%20&#201;TNICOS%20-%20CARACTERIZACI&#211;N%20Y%20REGISTRO%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D-CR%20-GESTI&#211;N%20DE%20DERECHOS%20TERRITORIALES%20&#201;TNICOS%20-%20CARACTERIZACI&#211;N%20Y%20REGISTRO%20(MAPA%20DE%20RIESGOS%20APROBADO).xlsx?EE74F430" TargetMode="External"/><Relationship Id="rId1" Type="http://schemas.openxmlformats.org/officeDocument/2006/relationships/externalLinkPath" Target="file:///\\EE74F430\2025%20-%20RD-CR%20-GESTI&#211;N%20DE%20DERECHOS%20TERRITORIALES%20&#201;TNICOS%20-%20CARACTERIZACI&#211;N%20Y%20REGISTRO%20(MAPA%20DE%20RIESGOS%20APROBADO).xlsx" TargetMode="External"/></Relationships>
</file>

<file path=xl/externalLinks/_rels/externalLink1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EJ%20ETAPA%20JUDICIAL%20(GESTI&#211;N%20DE%20DERECHOS%20TERRITORIALES%20&#201;TNICOS)(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D-EJ%20ETAPA%20JUDICIAL%20(GESTI&#211;N%20DE%20DERECHOS%20TERRITORIALES%20&#201;TNICOS)(MAPA%20DE%20RIESGOS%20APROBADO).xlsx?EE74F430" TargetMode="External"/><Relationship Id="rId1" Type="http://schemas.openxmlformats.org/officeDocument/2006/relationships/externalLinkPath" Target="file:///\\EE74F430\2025%20-%20RD-EJ%20ETAPA%20JUDICIAL%20(GESTI&#211;N%20DE%20DERECHOS%20TERRITORIALES%20&#201;TNICOS)(MAPA%20DE%20RIESGOS%20APROBADO).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MP%20-%20MEDIDAS%20DE%20PREVENCI&#211;N%20Y%20PROTECCI&#211;N%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D-MP%20-%20MEDIDAS%20DE%20PREVENCI&#211;N%20Y%20PROTECCI&#211;N%20(GESTI&#211;N%20DE%20RESTITUCI&#211;N%20DE%20DERECHOS%20TERRITORIALES)(MAPA%20DE%20RIESGOS%20APROBADO).xlsx?EE74F430" TargetMode="External"/><Relationship Id="rId1" Type="http://schemas.openxmlformats.org/officeDocument/2006/relationships/externalLinkPath" Target="file:///\\EE74F430\2025%20-%20RD-MP%20-%20MEDIDAS%20DE%20PREVENCI&#211;N%20Y%20PROTECCI&#211;N%20(GESTI&#211;N%20DE%20RESTITUCI&#211;N%20DE%20DERECHOS%20TERRITORIALES)(MAPA%20DE%20RIESGOS%20APROBADO).xlsx" TargetMode="External"/></Relationships>
</file>

<file path=xl/externalLinks/_rels/externalLink1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RE%20-%20RUPTA%20&#201;TNICO%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D-RE%20-%20RUPTA%20&#201;TNICO%20(GESTI&#211;N%20DE%20RESTITUCI&#211;N%20DE%20DERECHOS%20TERRITORIALES)(MAPA%20DE%20RIESGOS%20APROBADO).xlsx?EE74F430" TargetMode="External"/><Relationship Id="rId1" Type="http://schemas.openxmlformats.org/officeDocument/2006/relationships/externalLinkPath" Target="file:///\\EE74F430\2025%20-%20RD-RE%20-%20RUPTA%20&#201;TNICO%20(GESTI&#211;N%20DE%20RESTITUCI&#211;N%20DE%20DERECHOS%20TERRITORIALES)(MAPA%20DE%20RIESGOS%20APROBADO).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PF-CS%20-%20GESTI&#211;N%20POSFALLO%20PARA%20EL%20CUMPLIMIENTO%20DE%20LAS%20PROVIDENCIAS%20JUDICIALES%20DE%20RESTITUCI&#211;N%20CON%20ENFOQUE%20DE%20DERECHOS%20&#201;TNICO%20Y%20DIFERENCIAL.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PF-CS%20-%20GESTI&#211;N%20POSFALLO%20PARA%20EL%20CUMPLIMIENTO%20DE%20LAS%20PROVIDENCIAS%20JUDICIALES%20DE%20RESTITUCI&#211;N%20CON%20ENFOQUE%20DE%20DERECHOS%20&#201;TNICO%20Y%20DIFERENCIAL.xlsx?EE74F430" TargetMode="External"/><Relationship Id="rId1" Type="http://schemas.openxmlformats.org/officeDocument/2006/relationships/externalLinkPath" Target="file:///\\EE74F430\2025%20-%20PF-CS%20-%20GESTI&#211;N%20POSFALLO%20PARA%20EL%20CUMPLIMIENTO%20DE%20LAS%20PROVIDENCIAS%20JUDICIALES%20DE%20RESTITUCI&#211;N%20CON%20ENFOQUE%20DE%20DERECHOS%20&#201;TNICO%20Y%20DIFERENCIAL.xlsx" TargetMode="External"/></Relationships>
</file>

<file path=xl/externalLinks/_rels/externalLink1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RG%20-%20REGISTRO%20(GESTI&#211;N%20DE%20RESTITUCI&#211;N%20LEY%201448)(%20MAPA%20DE%20RIESGOS%20APROBADO)%20-.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T-RG%20-%20REGISTRO%20(GESTI&#211;N%20DE%20RESTITUCI&#211;N%20LEY%201448)(%20MAPA%20DE%20RIESGOS%20APROBADO)%20-.xlsx?EE74F430" TargetMode="External"/><Relationship Id="rId1" Type="http://schemas.openxmlformats.org/officeDocument/2006/relationships/externalLinkPath" Target="file:///\\EE74F430\2025%20-%20RT-RG%20-%20REGISTRO%20(GESTI&#211;N%20DE%20RESTITUCI&#211;N%20LEY%201448)(%20MAPA%20DE%20RIESGOS%20APROBADO)%20-.xlsx" TargetMode="External"/></Relationships>
</file>

<file path=xl/externalLinks/_rels/externalLink1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JU%20-%20ETAPA%20JUDICIAL%20(GESTI&#211;N%20DE%20RESTITUCI&#211;N%20LEY%201448)(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RT-JU%20-%20ETAPA%20JUDICIAL%20(GESTI&#211;N%20DE%20RESTITUCI&#211;N%20LEY%201448)(MAPA%20DE%20RIESGOS%20APROBADO).xlsx?EE74F430" TargetMode="External"/><Relationship Id="rId1" Type="http://schemas.openxmlformats.org/officeDocument/2006/relationships/externalLinkPath" Target="file:///\\EE74F430\2025%20-%20RT-JU%20-%20ETAPA%20JUDICIAL%20(GESTI&#211;N%20DE%20RESTITUCI&#211;N%20LEY%201448)(MAPA%20DE%20RIESGOS%20APROBADO).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MAPAS%20DE%20RIESGOS%202025%20-%20PROCESOS\2025%20-%20RU%20-%20RUPTA%20(MAPA%20DE%20RIESGOS%20APROBADO).xlsx" TargetMode="External"/><Relationship Id="rId1" Type="http://schemas.openxmlformats.org/officeDocument/2006/relationships/externalLinkPath" Target="https://restituciondetierras.sharepoint.com/sites/ProfesionalesSIG-OAP/Shared%20Documents/Riesgos/Riesgos%202025/RIESGOS%20CONSOLIDADOS/ENERO/MAPAS%20DE%20RIESGOS%202025%20-%20PROCESOS/2025%20-%20RU%20-%20RUPTA%20(MAPA%20DE%20RIESGOS%20APROBADO).xlsx" TargetMode="External"/></Relationships>
</file>

<file path=xl/externalLinks/_rels/externalLink1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J%20-%20GESTI&#211;N%20JURIDICA%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J%20-%20GESTI&#211;N%20JURIDICA%20(MAPA%20DE%20RIESGOS%20APROBADO).xlsx?EE74F430" TargetMode="External"/><Relationship Id="rId1" Type="http://schemas.openxmlformats.org/officeDocument/2006/relationships/externalLinkPath" Target="file:///\\EE74F430\2025%20-%20GJ%20-%20GESTI&#211;N%20JURIDICA%20(MAPA%20DE%20RIESGOS%20APROBADO).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ENERO/PAAC%202024%20FINAL/PAAC%20III%20CUATRIMESTRE%20FINAL/PAAC%20III%20CUATRIMESTRE%202024/SUBCOMPONENTE%201/1.1.2/12.%202025%20-%20GF%20MAPA%20DE%20RIESGOS%20APROBADO.xlsx?BA58AA32" TargetMode="External"/><Relationship Id="rId1" Type="http://schemas.openxmlformats.org/officeDocument/2006/relationships/externalLinkPath" Target="file:///\\BA58AA32\12.%202025%20-%20GF%20MAPA%20DE%20RIESGOS%20APROBADO.xlsx" TargetMode="External"/></Relationships>
</file>

<file path=xl/externalLinks/_rels/externalLink20.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D%20-%20GESTI&#211;N%20DOCUMENTAL%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D%20-%20GESTI&#211;N%20DOCUMENTAL%20(MAPA%20DE%20RIESGOS%20APROBADO).xlsx?EE74F430" TargetMode="External"/><Relationship Id="rId1" Type="http://schemas.openxmlformats.org/officeDocument/2006/relationships/externalLinkPath" Target="file:///\\EE74F430\2025%20-%20GD%20-%20GESTI&#211;N%20DOCUMENTAL%20(MAPA%20DE%20RIESGOS%20APROBADO).xlsx" TargetMode="External"/></Relationships>
</file>

<file path=xl/externalLinks/_rels/externalLink2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L%20-%20GESTI&#211;N%20LOG&#205;STICA%20Y%20DE%20RECURSOS%20F&#205;SICOS%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L%20-%20GESTI&#211;N%20LOG&#205;STICA%20Y%20DE%20RECURSOS%20F&#205;SICOS%20(MAPA%20DE%20RIESGOS%20APROBADO).xlsx?EE74F430" TargetMode="External"/><Relationship Id="rId1" Type="http://schemas.openxmlformats.org/officeDocument/2006/relationships/externalLinkPath" Target="file:///\\EE74F430\2025%20-%20GL%20-%20GESTI&#211;N%20LOG&#205;STICA%20Y%20DE%20RECURSOS%20F&#205;SICOS%20(MAPA%20DE%20RIESGOS%20APROBADO).xlsx" TargetMode="External"/></Relationships>
</file>

<file path=xl/externalLinks/_rels/externalLink2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TH%20-%20GESTI&#211;N%20DEL%20TALENTO%20HUMANO%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TH%20-%20GESTI&#211;N%20DEL%20TALENTO%20HUMANO%20(MAPA%20DE%20RIESGOS%20APROBADO.xlsx?EE74F430" TargetMode="External"/><Relationship Id="rId1" Type="http://schemas.openxmlformats.org/officeDocument/2006/relationships/externalLinkPath" Target="file:///\\EE74F430\2025%20-%20TH%20-%20GESTI&#211;N%20DEL%20TALENTO%20HUMANO%20(MAPA%20DE%20RIESGOS%20APROBADO.xlsx" TargetMode="External"/></Relationships>
</file>

<file path=xl/externalLinks/_rels/externalLink2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F%20-%20GESTI&#211;N%20FINANCIERA%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F%20-%20GESTI&#211;N%20FINANCIERA%20(MAPA%20DE%20RIESGOS%20APROBADO).xlsx?EE74F430" TargetMode="External"/><Relationship Id="rId1" Type="http://schemas.openxmlformats.org/officeDocument/2006/relationships/externalLinkPath" Target="file:///\\EE74F430\2025%20-%20GF%20-%20GESTI&#211;N%20FINANCIERA%20(MAPA%20DE%20RIESGOS%20APROBADO).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C%20-%20GESTI&#211;N%20CONTRACTUAL%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C%20-%20GESTI&#211;N%20CONTRACTUAL%20(MAPA%20DE%20RIESGOS%20APROBADO).xlsx?EE74F430" TargetMode="External"/><Relationship Id="rId1" Type="http://schemas.openxmlformats.org/officeDocument/2006/relationships/externalLinkPath" Target="file:///\\EE74F430\2025%20-%20GC%20-%20GESTI&#211;N%20CONTRACTUAL%20(MAPA%20DE%20RIESGOS%20APROBADO).xlsx" TargetMode="External"/></Relationships>
</file>

<file path=xl/externalLinks/_rels/externalLink2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C%20-%20ATENCI&#211;N%20A%20LA%20CIUDADAN&#205;A%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AC%20-%20ATENCI&#211;N%20A%20LA%20CIUDADAN&#205;A%20(MAPA%20DE%20RIESGOS%20APROBADO).xlsx?EE74F430" TargetMode="External"/><Relationship Id="rId1" Type="http://schemas.openxmlformats.org/officeDocument/2006/relationships/externalLinkPath" Target="file:///\\EE74F430\2025%20-%20AC%20-%20ATENCI&#211;N%20A%20LA%20CIUDADAN&#205;A%20(MAPA%20DE%20RIESGOS%20APROBADO).xlsx" TargetMode="External"/></Relationships>
</file>

<file path=xl/externalLinks/_rels/externalLink2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D%20-%20CONTROL%20INTERNO%20DISCIPLINARIO%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CD%20-%20CONTROL%20INTERNO%20DISCIPLINARIO%20(MAPA%20DE%20RIESGOS%20APROBADO).xlsx?EE74F430" TargetMode="External"/><Relationship Id="rId1" Type="http://schemas.openxmlformats.org/officeDocument/2006/relationships/externalLinkPath" Target="file:///\\EE74F430\2025%20-%20CD%20-%20CONTROL%20INTERNO%20DISCIPLINARIO%20(MAPA%20DE%20RIESGOS%20APROBADO).xlsx" TargetMode="External"/></Relationships>
</file>

<file path=xl/externalLinks/_rels/externalLink2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I%20-%20CONTROL%20Y%20EVALUACI&#211;N%20INDEPENDIENTE%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CI%20-%20CONTROL%20Y%20EVALUACI&#211;N%20INDEPENDIENTE%20(MAPA%20DE%20RIESGOS%20APROBADO).xlsx?EE74F430" TargetMode="External"/><Relationship Id="rId1" Type="http://schemas.openxmlformats.org/officeDocument/2006/relationships/externalLinkPath" Target="file:///\\EE74F430\2025%20-%20CI%20-%20CONTROL%20Y%20EVALUACI&#211;N%20INDEPENDIENTE%20(MAPA%20DE%20RIESGOS%20APROBADO).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SE%20-%20PREVENCI&#211;N%20Y%20GESTI&#211;N%20DE%20SEGURIDAD%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SE%20-%20PREVENCI&#211;N%20Y%20GESTI&#211;N%20DE%20SEGURIDAD%20(MAPA%20DE%20RIESGOS%20APROBADO).xlsx?EE74F430" TargetMode="External"/><Relationship Id="rId1" Type="http://schemas.openxmlformats.org/officeDocument/2006/relationships/externalLinkPath" Target="file:///\\EE74F430\2025%20-%20SE%20-%20PREVENCI&#211;N%20Y%20GESTI&#211;N%20DE%20SEGURIDAD%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I%20-%20ARTICULACI&#211;N%20INTERINSTITUCIONAL%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AI%20-%20ARTICULACI&#211;N%20INTERINSTITUCIONAL%20(MAPA%20DE%20RIESGOS%20APROBADO).xlsx?EE74F430" TargetMode="External"/><Relationship Id="rId1" Type="http://schemas.openxmlformats.org/officeDocument/2006/relationships/externalLinkPath" Target="file:///\\EE74F430\2025%20-%20AI%20-%20ARTICULACI&#211;N%20INTERINSTITUCIONAL%20(MAPA%20DE%20RIESGOS%20APROBADO).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O%20-%20GESTI&#211;N%20DE%20COMUNICACIONES%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CO%20-%20GESTI&#211;N%20DE%20COMUNICACIONES%20(MAPA%20DE%20RIESGOS%20APROBADO).xlsx?EE74F430" TargetMode="External"/><Relationship Id="rId1" Type="http://schemas.openxmlformats.org/officeDocument/2006/relationships/externalLinkPath" Target="file:///\\EE74F430\2025%20-%20CO%20-%20GESTI&#211;N%20DE%20COMUNICACIONES%20(MAPA%20DE%20RIESGOS%20APROBADO).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DE%20-%20DIRECCIONAMIENTO%20ESTRAT&#201;GICO%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DE%20-%20DIRECCIONAMIENTO%20ESTRAT&#201;GICO%20(MAPA%20DE%20RIESGOS%20APROBADO).xlsx?EE74F430" TargetMode="External"/><Relationship Id="rId1" Type="http://schemas.openxmlformats.org/officeDocument/2006/relationships/externalLinkPath" Target="file:///\\EE74F430\2025%20-%20DE%20-%20DIRECCIONAMIENTO%20ESTRAT&#201;GICO%20(MAPA%20DE%20RIESGOS%20APROBADO).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MC%20-%20MEJORAMIENTO%20CONTINUO%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MC%20-%20MEJORAMIENTO%20CONTINUO%20(MAPA%20DE%20RIESGOS%20APROBADO).xlsx?EE74F430" TargetMode="External"/><Relationship Id="rId1" Type="http://schemas.openxmlformats.org/officeDocument/2006/relationships/externalLinkPath" Target="file:///\\EE74F430\2025%20-%20MC%20-%20MEJORAMIENTO%20CONTINUO%20(MAPA%20DE%20RIESGOS%20APROBADO).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P%20-%20GESTI&#211;N%20DE%20COOPERACI&#211;N%20INTERNACIONAL%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CP%20-%20GESTI&#211;N%20DE%20COOPERACI&#211;N%20INTERNACIONAL%20(MAPA%20DE%20RIESGOS%20APROBADO).xlsx?EE74F430" TargetMode="External"/><Relationship Id="rId1" Type="http://schemas.openxmlformats.org/officeDocument/2006/relationships/externalLinkPath" Target="file:///\\EE74F430\2025%20-%20CP%20-%20GESTI&#211;N%20DE%20COOPERACI&#211;N%20INTERNACIONAL%20(MAPA%20DE%20RIESGOS%20APROBADO).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T%20-%20GESTI&#211;N%20DE%20TI%20(MAPA%20DE%20RIESGOS%20APROBADO).xlsx" TargetMode="External"/><Relationship Id="rId2" Type="http://schemas.microsoft.com/office/2019/04/relationships/externalLinkLongPath" Target="https://restituciondetierras.sharepoint.com/sites/ProfesionalesSIG-OAP/Shared%20Documents/Riesgos/Riesgos%202025/RIESGOS%20CONSOLIDADOS/ENERO/MAPAS%20DE%20RIESGOS%202025%20-%20PROCESOS/2025%20-%20GT%20-%20GESTI&#211;N%20DE%20TI%20(MAPA%20DE%20RIESGOS%20APROBADO).xlsx?EE74F430" TargetMode="External"/><Relationship Id="rId1" Type="http://schemas.openxmlformats.org/officeDocument/2006/relationships/externalLinkPath" Target="file:///\\EE74F430\2025%20-%20GT%20-%20GESTI&#211;N%20DE%20TI%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sheetData>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Corrupción (Riesgo 1)"/>
      <sheetName val="Impacto Corrupción (Riesgo 2)"/>
      <sheetName val="Impacto Corrupción (Riesgo 3)"/>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R1)"/>
      <sheetName val="Impacto R. Corrupción (R2)"/>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efreshError="1">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efreshError="1">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A79" workbookViewId="0">
      <selection activeCell="B79" sqref="B79"/>
    </sheetView>
  </sheetViews>
  <sheetFormatPr baseColWidth="10" defaultColWidth="11.453125" defaultRowHeight="14.5" x14ac:dyDescent="0.35"/>
  <cols>
    <col min="1" max="1" width="24.26953125" bestFit="1" customWidth="1"/>
    <col min="2" max="2" width="36.453125" customWidth="1"/>
    <col min="3" max="3" width="31.81640625" bestFit="1" customWidth="1"/>
    <col min="4" max="4" width="26.54296875" bestFit="1" customWidth="1"/>
    <col min="5" max="5" width="32.26953125" bestFit="1" customWidth="1"/>
    <col min="6" max="6" width="30.54296875" bestFit="1" customWidth="1"/>
    <col min="9" max="9" width="15.1796875" bestFit="1" customWidth="1"/>
    <col min="11" max="11" width="40" customWidth="1"/>
  </cols>
  <sheetData>
    <row r="1" spans="1:6" x14ac:dyDescent="0.35">
      <c r="A1" s="20" t="s">
        <v>0</v>
      </c>
    </row>
    <row r="2" spans="1:6" x14ac:dyDescent="0.35">
      <c r="A2" s="4" t="s">
        <v>1</v>
      </c>
    </row>
    <row r="3" spans="1:6" ht="29" x14ac:dyDescent="0.35">
      <c r="A3" s="3" t="s">
        <v>2</v>
      </c>
    </row>
    <row r="4" spans="1:6" x14ac:dyDescent="0.35">
      <c r="A4" s="4" t="s">
        <v>3</v>
      </c>
    </row>
    <row r="5" spans="1:6" x14ac:dyDescent="0.35">
      <c r="A5" s="4" t="s">
        <v>4</v>
      </c>
    </row>
    <row r="6" spans="1:6" x14ac:dyDescent="0.35">
      <c r="A6" s="4"/>
    </row>
    <row r="7" spans="1:6" x14ac:dyDescent="0.35">
      <c r="A7" s="4"/>
    </row>
    <row r="10" spans="1:6" x14ac:dyDescent="0.35">
      <c r="A10" s="18" t="s">
        <v>4</v>
      </c>
      <c r="B10" s="18" t="s">
        <v>1</v>
      </c>
      <c r="C10" s="18" t="s">
        <v>3</v>
      </c>
      <c r="D10" s="18" t="s">
        <v>5</v>
      </c>
      <c r="E10" s="27" t="s">
        <v>6</v>
      </c>
      <c r="F10" s="27" t="s">
        <v>7</v>
      </c>
    </row>
    <row r="11" spans="1:6" ht="29" x14ac:dyDescent="0.35">
      <c r="A11" s="23" t="s">
        <v>8</v>
      </c>
      <c r="B11" s="23" t="s">
        <v>8</v>
      </c>
      <c r="C11" s="26" t="s">
        <v>9</v>
      </c>
      <c r="D11" s="26" t="s">
        <v>10</v>
      </c>
      <c r="E11" s="23" t="s">
        <v>8</v>
      </c>
      <c r="F11" s="23" t="s">
        <v>8</v>
      </c>
    </row>
    <row r="12" spans="1:6" ht="29" x14ac:dyDescent="0.35">
      <c r="A12" s="23" t="s">
        <v>11</v>
      </c>
      <c r="B12" s="24" t="s">
        <v>11</v>
      </c>
      <c r="C12" s="26" t="s">
        <v>12</v>
      </c>
      <c r="D12" s="26" t="s">
        <v>13</v>
      </c>
      <c r="E12" s="23" t="s">
        <v>11</v>
      </c>
      <c r="F12" s="23" t="s">
        <v>11</v>
      </c>
    </row>
    <row r="13" spans="1:6" ht="29" x14ac:dyDescent="0.35">
      <c r="A13" s="23" t="s">
        <v>14</v>
      </c>
      <c r="B13" s="24" t="s">
        <v>14</v>
      </c>
      <c r="C13" s="26" t="s">
        <v>15</v>
      </c>
      <c r="D13" s="26" t="s">
        <v>16</v>
      </c>
      <c r="E13" s="23" t="s">
        <v>14</v>
      </c>
      <c r="F13" s="23" t="s">
        <v>14</v>
      </c>
    </row>
    <row r="14" spans="1:6" ht="29" x14ac:dyDescent="0.35">
      <c r="C14" s="26" t="s">
        <v>17</v>
      </c>
      <c r="D14" s="19"/>
    </row>
    <row r="15" spans="1:6" x14ac:dyDescent="0.35">
      <c r="A15" s="22" t="s">
        <v>1</v>
      </c>
    </row>
    <row r="16" spans="1:6" x14ac:dyDescent="0.35">
      <c r="A16" s="22"/>
    </row>
    <row r="17" spans="1:3" x14ac:dyDescent="0.35">
      <c r="A17" s="22"/>
      <c r="B17" s="22"/>
      <c r="C17" s="28" t="s">
        <v>18</v>
      </c>
    </row>
    <row r="18" spans="1:3" ht="15" thickBot="1" x14ac:dyDescent="0.4">
      <c r="A18" s="22"/>
      <c r="B18" s="25" t="s">
        <v>19</v>
      </c>
      <c r="C18" s="28" t="s">
        <v>19</v>
      </c>
    </row>
    <row r="19" spans="1:3" ht="27" thickBot="1" x14ac:dyDescent="0.4">
      <c r="A19" s="22" t="s">
        <v>3</v>
      </c>
      <c r="B19" s="29" t="s">
        <v>20</v>
      </c>
      <c r="C19" s="35" t="s">
        <v>20</v>
      </c>
    </row>
    <row r="20" spans="1:3" x14ac:dyDescent="0.35">
      <c r="A20" s="22"/>
      <c r="B20" s="29" t="s">
        <v>21</v>
      </c>
      <c r="C20" s="30" t="s">
        <v>22</v>
      </c>
    </row>
    <row r="21" spans="1:3" x14ac:dyDescent="0.35">
      <c r="A21" s="22"/>
      <c r="B21" s="29" t="s">
        <v>23</v>
      </c>
      <c r="C21" s="36" t="s">
        <v>21</v>
      </c>
    </row>
    <row r="22" spans="1:3" x14ac:dyDescent="0.35">
      <c r="A22" s="22"/>
      <c r="B22" s="29" t="s">
        <v>24</v>
      </c>
      <c r="C22" s="31" t="s">
        <v>25</v>
      </c>
    </row>
    <row r="23" spans="1:3" x14ac:dyDescent="0.35">
      <c r="B23" s="29" t="s">
        <v>26</v>
      </c>
      <c r="C23" s="36" t="s">
        <v>23</v>
      </c>
    </row>
    <row r="24" spans="1:3" x14ac:dyDescent="0.35">
      <c r="A24" t="s">
        <v>27</v>
      </c>
      <c r="B24" s="29" t="s">
        <v>28</v>
      </c>
      <c r="C24" s="31" t="s">
        <v>29</v>
      </c>
    </row>
    <row r="25" spans="1:3" x14ac:dyDescent="0.35">
      <c r="B25" s="29" t="s">
        <v>30</v>
      </c>
      <c r="C25" s="36" t="s">
        <v>24</v>
      </c>
    </row>
    <row r="26" spans="1:3" x14ac:dyDescent="0.35">
      <c r="B26" s="32"/>
      <c r="C26" s="31" t="s">
        <v>31</v>
      </c>
    </row>
    <row r="27" spans="1:3" x14ac:dyDescent="0.35">
      <c r="B27" s="22"/>
      <c r="C27" s="36" t="s">
        <v>26</v>
      </c>
    </row>
    <row r="28" spans="1:3" x14ac:dyDescent="0.35">
      <c r="A28" s="4" t="s">
        <v>32</v>
      </c>
      <c r="B28" s="21"/>
      <c r="C28" s="33" t="s">
        <v>22</v>
      </c>
    </row>
    <row r="29" spans="1:3" x14ac:dyDescent="0.35">
      <c r="B29" s="22"/>
      <c r="C29" s="34" t="s">
        <v>25</v>
      </c>
    </row>
    <row r="30" spans="1:3" x14ac:dyDescent="0.35">
      <c r="B30" s="22"/>
      <c r="C30" s="34" t="s">
        <v>29</v>
      </c>
    </row>
    <row r="31" spans="1:3" x14ac:dyDescent="0.35">
      <c r="B31" s="22"/>
      <c r="C31" s="34" t="s">
        <v>31</v>
      </c>
    </row>
    <row r="32" spans="1:3" x14ac:dyDescent="0.35">
      <c r="A32" s="4" t="s">
        <v>33</v>
      </c>
      <c r="B32" s="22"/>
      <c r="C32" s="34" t="s">
        <v>34</v>
      </c>
    </row>
    <row r="33" spans="2:6" ht="13" customHeight="1" x14ac:dyDescent="0.35">
      <c r="B33" s="22"/>
      <c r="C33" s="37" t="s">
        <v>28</v>
      </c>
    </row>
    <row r="34" spans="2:6" x14ac:dyDescent="0.35">
      <c r="B34" s="22"/>
      <c r="C34" s="33" t="s">
        <v>22</v>
      </c>
    </row>
    <row r="35" spans="2:6" x14ac:dyDescent="0.35">
      <c r="B35" s="22"/>
      <c r="C35" s="34" t="s">
        <v>25</v>
      </c>
    </row>
    <row r="36" spans="2:6" x14ac:dyDescent="0.35">
      <c r="B36" s="22"/>
      <c r="C36" s="34" t="s">
        <v>29</v>
      </c>
    </row>
    <row r="37" spans="2:6" x14ac:dyDescent="0.35">
      <c r="B37" s="22"/>
      <c r="C37" s="34" t="s">
        <v>31</v>
      </c>
    </row>
    <row r="38" spans="2:6" x14ac:dyDescent="0.35">
      <c r="B38" s="22"/>
      <c r="C38" s="34" t="s">
        <v>34</v>
      </c>
    </row>
    <row r="39" spans="2:6" x14ac:dyDescent="0.35">
      <c r="B39" s="22"/>
      <c r="C39" s="36" t="s">
        <v>30</v>
      </c>
    </row>
    <row r="40" spans="2:6" x14ac:dyDescent="0.35">
      <c r="B40" s="22"/>
      <c r="C40" s="33" t="s">
        <v>34</v>
      </c>
    </row>
    <row r="41" spans="2:6" x14ac:dyDescent="0.35">
      <c r="B41" s="22"/>
      <c r="C41" s="34" t="s">
        <v>25</v>
      </c>
    </row>
    <row r="44" spans="2:6" x14ac:dyDescent="0.35">
      <c r="B44" s="536" t="s">
        <v>35</v>
      </c>
      <c r="C44" s="536"/>
      <c r="D44" s="536"/>
      <c r="E44" s="536"/>
      <c r="F44" s="536"/>
    </row>
    <row r="45" spans="2:6" x14ac:dyDescent="0.35">
      <c r="B45" s="39" t="s">
        <v>36</v>
      </c>
      <c r="C45" s="39" t="s">
        <v>37</v>
      </c>
      <c r="D45" s="22"/>
      <c r="E45" s="39" t="s">
        <v>38</v>
      </c>
      <c r="F45" s="39" t="s">
        <v>39</v>
      </c>
    </row>
    <row r="46" spans="2:6" x14ac:dyDescent="0.35">
      <c r="B46" s="108" t="s">
        <v>40</v>
      </c>
      <c r="C46" s="40">
        <v>0.25</v>
      </c>
      <c r="D46" s="22"/>
      <c r="E46" s="25" t="s">
        <v>41</v>
      </c>
      <c r="F46" s="40">
        <v>0.25</v>
      </c>
    </row>
    <row r="47" spans="2:6" x14ac:dyDescent="0.35">
      <c r="B47" s="108" t="s">
        <v>42</v>
      </c>
      <c r="C47" s="40">
        <v>0.15</v>
      </c>
      <c r="D47" s="22"/>
      <c r="E47" s="25" t="s">
        <v>43</v>
      </c>
      <c r="F47" s="40">
        <v>0.15</v>
      </c>
    </row>
    <row r="48" spans="2:6" x14ac:dyDescent="0.35">
      <c r="B48" s="108" t="s">
        <v>44</v>
      </c>
      <c r="C48" s="40">
        <v>0.1</v>
      </c>
      <c r="D48" s="22"/>
      <c r="E48" s="25"/>
      <c r="F48" s="25"/>
    </row>
    <row r="51" spans="2:13" x14ac:dyDescent="0.35">
      <c r="B51" s="536" t="s">
        <v>45</v>
      </c>
      <c r="C51" s="536"/>
      <c r="D51" s="536"/>
      <c r="E51" s="22"/>
      <c r="F51" s="536" t="s">
        <v>46</v>
      </c>
      <c r="G51" s="536"/>
      <c r="H51" s="22"/>
      <c r="I51" s="41" t="s">
        <v>47</v>
      </c>
      <c r="J51" s="22"/>
      <c r="K51" s="41" t="s">
        <v>48</v>
      </c>
      <c r="L51" s="22"/>
      <c r="M51" s="42" t="s">
        <v>49</v>
      </c>
    </row>
    <row r="52" spans="2:13" x14ac:dyDescent="0.35">
      <c r="B52" s="41" t="s">
        <v>50</v>
      </c>
      <c r="C52" s="41" t="s">
        <v>51</v>
      </c>
      <c r="D52" s="41" t="s">
        <v>52</v>
      </c>
      <c r="E52" s="22"/>
      <c r="F52" s="38" t="s">
        <v>36</v>
      </c>
      <c r="G52" s="38" t="s">
        <v>53</v>
      </c>
      <c r="H52" s="22"/>
      <c r="I52" s="25" t="s">
        <v>54</v>
      </c>
      <c r="J52" s="22"/>
      <c r="K52" s="23" t="s">
        <v>55</v>
      </c>
      <c r="L52" s="22"/>
      <c r="M52" s="43" t="s">
        <v>56</v>
      </c>
    </row>
    <row r="53" spans="2:13" x14ac:dyDescent="0.35">
      <c r="B53" s="25" t="s">
        <v>57</v>
      </c>
      <c r="C53" s="25" t="s">
        <v>58</v>
      </c>
      <c r="D53" s="25" t="s">
        <v>59</v>
      </c>
      <c r="E53" s="22"/>
      <c r="F53" s="25" t="s">
        <v>40</v>
      </c>
      <c r="G53" s="44" t="s">
        <v>60</v>
      </c>
      <c r="H53" s="22"/>
      <c r="I53" s="25" t="s">
        <v>61</v>
      </c>
      <c r="J53" s="22"/>
      <c r="K53" s="23" t="s">
        <v>62</v>
      </c>
      <c r="L53" s="22"/>
      <c r="M53" s="43" t="s">
        <v>63</v>
      </c>
    </row>
    <row r="54" spans="2:13" ht="28" x14ac:dyDescent="0.35">
      <c r="B54" s="25" t="s">
        <v>64</v>
      </c>
      <c r="C54" s="25" t="s">
        <v>65</v>
      </c>
      <c r="D54" s="25" t="s">
        <v>66</v>
      </c>
      <c r="E54" s="22"/>
      <c r="F54" s="25" t="s">
        <v>42</v>
      </c>
      <c r="G54" s="44" t="s">
        <v>60</v>
      </c>
      <c r="H54" s="22"/>
      <c r="I54" s="25" t="s">
        <v>67</v>
      </c>
      <c r="J54" s="22"/>
      <c r="K54" s="23" t="s">
        <v>68</v>
      </c>
      <c r="L54" s="22"/>
      <c r="M54" s="43" t="s">
        <v>69</v>
      </c>
    </row>
    <row r="55" spans="2:13" ht="28" x14ac:dyDescent="0.35">
      <c r="B55" s="25"/>
      <c r="C55" s="25"/>
      <c r="D55" s="25"/>
      <c r="E55" s="22"/>
      <c r="F55" s="25" t="s">
        <v>44</v>
      </c>
      <c r="G55" s="44" t="s">
        <v>70</v>
      </c>
      <c r="H55" s="22"/>
      <c r="I55" s="25" t="s">
        <v>71</v>
      </c>
      <c r="J55" s="22"/>
      <c r="K55" s="23" t="s">
        <v>72</v>
      </c>
      <c r="L55" s="22"/>
      <c r="M55" s="25"/>
    </row>
    <row r="56" spans="2:13" x14ac:dyDescent="0.35">
      <c r="B56" s="22"/>
      <c r="C56" s="22"/>
      <c r="D56" s="22"/>
      <c r="E56" s="22"/>
      <c r="F56" s="45"/>
      <c r="G56" s="22"/>
      <c r="H56" s="22"/>
      <c r="I56" s="25" t="s">
        <v>73</v>
      </c>
      <c r="J56" s="22"/>
      <c r="K56" s="22"/>
      <c r="L56" s="22"/>
      <c r="M56" s="22"/>
    </row>
    <row r="57" spans="2:13" x14ac:dyDescent="0.35">
      <c r="B57" s="22"/>
      <c r="C57" s="22"/>
      <c r="D57" s="22"/>
      <c r="E57" s="22"/>
      <c r="F57" s="22"/>
      <c r="G57" s="22"/>
      <c r="H57" s="22"/>
      <c r="I57" s="25"/>
      <c r="J57" s="22"/>
      <c r="K57" s="22"/>
      <c r="L57" s="22"/>
      <c r="M57" s="22"/>
    </row>
    <row r="60" spans="2:13" ht="39" x14ac:dyDescent="0.35">
      <c r="E60" s="42" t="s">
        <v>74</v>
      </c>
      <c r="F60" s="42" t="s">
        <v>47</v>
      </c>
      <c r="G60" s="42" t="s">
        <v>75</v>
      </c>
      <c r="H60" s="106"/>
      <c r="I60" s="6" t="s">
        <v>76</v>
      </c>
    </row>
    <row r="61" spans="2:13" ht="37.5" x14ac:dyDescent="0.35">
      <c r="E61" s="107" t="s">
        <v>77</v>
      </c>
      <c r="F61" s="62" t="s">
        <v>78</v>
      </c>
      <c r="G61" s="62" t="s">
        <v>79</v>
      </c>
      <c r="H61" s="109"/>
      <c r="I61" s="5" t="s">
        <v>80</v>
      </c>
    </row>
    <row r="62" spans="2:13" ht="37.5" x14ac:dyDescent="0.35">
      <c r="E62" s="68" t="s">
        <v>81</v>
      </c>
      <c r="F62" s="62" t="s">
        <v>78</v>
      </c>
      <c r="G62" s="62" t="s">
        <v>79</v>
      </c>
      <c r="H62" s="109"/>
      <c r="I62" s="5" t="s">
        <v>82</v>
      </c>
    </row>
    <row r="63" spans="2:13" ht="37.5" x14ac:dyDescent="0.35">
      <c r="E63" s="71" t="s">
        <v>83</v>
      </c>
      <c r="F63" s="62" t="s">
        <v>84</v>
      </c>
      <c r="G63" s="62" t="s">
        <v>79</v>
      </c>
      <c r="H63" s="110"/>
      <c r="I63" s="5" t="s">
        <v>85</v>
      </c>
    </row>
    <row r="64" spans="2:13" ht="37.5" x14ac:dyDescent="0.35">
      <c r="E64" s="72" t="s">
        <v>86</v>
      </c>
      <c r="F64" s="62" t="s">
        <v>87</v>
      </c>
      <c r="G64" s="62" t="s">
        <v>88</v>
      </c>
      <c r="H64" s="106"/>
      <c r="I64" s="5" t="s">
        <v>89</v>
      </c>
    </row>
    <row r="65" spans="2:9" ht="40" x14ac:dyDescent="0.35">
      <c r="I65" s="5" t="s">
        <v>90</v>
      </c>
    </row>
    <row r="66" spans="2:9" x14ac:dyDescent="0.35">
      <c r="B66" s="113" t="s">
        <v>91</v>
      </c>
    </row>
    <row r="67" spans="2:9" ht="25" x14ac:dyDescent="0.35">
      <c r="B67" s="112" t="s">
        <v>92</v>
      </c>
    </row>
    <row r="68" spans="2:9" x14ac:dyDescent="0.35">
      <c r="B68" s="112" t="s">
        <v>93</v>
      </c>
    </row>
    <row r="69" spans="2:9" x14ac:dyDescent="0.35">
      <c r="B69" s="112" t="s">
        <v>94</v>
      </c>
    </row>
    <row r="70" spans="2:9" x14ac:dyDescent="0.35">
      <c r="B70" s="112" t="s">
        <v>95</v>
      </c>
    </row>
    <row r="71" spans="2:9" x14ac:dyDescent="0.35">
      <c r="B71" s="112" t="s">
        <v>96</v>
      </c>
    </row>
    <row r="72" spans="2:9" ht="25" x14ac:dyDescent="0.35">
      <c r="B72" s="112" t="s">
        <v>97</v>
      </c>
    </row>
    <row r="73" spans="2:9" x14ac:dyDescent="0.35">
      <c r="B73" s="112" t="s">
        <v>98</v>
      </c>
    </row>
    <row r="74" spans="2:9" ht="37.5" x14ac:dyDescent="0.35">
      <c r="B74" s="112" t="s">
        <v>99</v>
      </c>
    </row>
    <row r="75" spans="2:9" ht="37.5" x14ac:dyDescent="0.35">
      <c r="B75" s="112" t="s">
        <v>100</v>
      </c>
    </row>
    <row r="76" spans="2:9" ht="37.5" x14ac:dyDescent="0.35">
      <c r="B76" s="112" t="s">
        <v>101</v>
      </c>
    </row>
    <row r="77" spans="2:9" x14ac:dyDescent="0.35">
      <c r="B77" s="112" t="s">
        <v>102</v>
      </c>
    </row>
    <row r="78" spans="2:9" ht="75" x14ac:dyDescent="0.35">
      <c r="B78" s="112" t="s">
        <v>103</v>
      </c>
    </row>
    <row r="79" spans="2:9" ht="25" x14ac:dyDescent="0.35">
      <c r="B79" s="112" t="s">
        <v>104</v>
      </c>
    </row>
    <row r="80" spans="2:9" ht="25" x14ac:dyDescent="0.35">
      <c r="B80" s="112" t="s">
        <v>105</v>
      </c>
    </row>
    <row r="81" spans="2:2" x14ac:dyDescent="0.35">
      <c r="B81" s="112" t="s">
        <v>106</v>
      </c>
    </row>
    <row r="82" spans="2:2" x14ac:dyDescent="0.35">
      <c r="B82" s="112" t="s">
        <v>107</v>
      </c>
    </row>
    <row r="83" spans="2:2" x14ac:dyDescent="0.35">
      <c r="B83" s="112" t="s">
        <v>108</v>
      </c>
    </row>
    <row r="84" spans="2:2" ht="25" x14ac:dyDescent="0.35">
      <c r="B84" s="112" t="s">
        <v>109</v>
      </c>
    </row>
    <row r="85" spans="2:2" x14ac:dyDescent="0.35">
      <c r="B85" s="112" t="s">
        <v>110</v>
      </c>
    </row>
    <row r="86" spans="2:2" x14ac:dyDescent="0.35">
      <c r="B86" s="112" t="s">
        <v>111</v>
      </c>
    </row>
    <row r="87" spans="2:2" x14ac:dyDescent="0.35">
      <c r="B87" s="112" t="s">
        <v>112</v>
      </c>
    </row>
    <row r="88" spans="2:2" x14ac:dyDescent="0.35">
      <c r="B88" s="112" t="s">
        <v>113</v>
      </c>
    </row>
    <row r="89" spans="2:2" x14ac:dyDescent="0.35">
      <c r="B89" s="112" t="s">
        <v>114</v>
      </c>
    </row>
    <row r="90" spans="2:2" ht="25" x14ac:dyDescent="0.35">
      <c r="B90" s="112"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BR1022"/>
  <sheetViews>
    <sheetView showGridLines="0" tabSelected="1" zoomScale="60" zoomScaleNormal="60" zoomScaleSheetLayoutView="100" workbookViewId="0">
      <selection activeCell="F12" sqref="F12:F21"/>
    </sheetView>
  </sheetViews>
  <sheetFormatPr baseColWidth="10" defaultColWidth="11.453125" defaultRowHeight="14" x14ac:dyDescent="0.35"/>
  <cols>
    <col min="1" max="1" width="2.7265625" style="7" customWidth="1"/>
    <col min="2" max="2" width="18.54296875" style="7" customWidth="1"/>
    <col min="3" max="3" width="37.54296875" style="7" customWidth="1"/>
    <col min="4" max="4" width="22" style="7" customWidth="1"/>
    <col min="5" max="5" width="28" style="7" customWidth="1"/>
    <col min="6" max="6" width="58.1796875" style="7" customWidth="1"/>
    <col min="7" max="7" width="46.54296875" style="7" customWidth="1"/>
    <col min="8" max="8" width="49.7265625" style="7" customWidth="1"/>
    <col min="9" max="9" width="19.81640625" style="7" customWidth="1"/>
    <col min="10" max="10" width="16.81640625" style="7" customWidth="1"/>
    <col min="11" max="11" width="36.453125" style="7" bestFit="1" customWidth="1"/>
    <col min="12" max="12" width="19.7265625" style="7" customWidth="1"/>
    <col min="13" max="13" width="44.7265625" style="1" customWidth="1"/>
    <col min="14" max="14" width="14" style="2" customWidth="1"/>
    <col min="15" max="15" width="7.26953125" style="2" bestFit="1" customWidth="1"/>
    <col min="16" max="16" width="45.1796875" style="1" customWidth="1"/>
    <col min="17" max="17" width="14" style="7" customWidth="1"/>
    <col min="18" max="18" width="9.453125" style="7" customWidth="1"/>
    <col min="19" max="19" width="9" style="7" hidden="1" customWidth="1"/>
    <col min="20" max="20" width="16.81640625" style="7" bestFit="1" customWidth="1"/>
    <col min="21" max="21" width="6.1796875" style="7" customWidth="1"/>
    <col min="22" max="22" width="148.1796875" style="7" bestFit="1" customWidth="1"/>
    <col min="23" max="23" width="11.7265625" style="7" customWidth="1"/>
    <col min="24" max="24" width="9.54296875" style="7" bestFit="1" customWidth="1"/>
    <col min="25" max="25" width="13.54296875" style="7" customWidth="1"/>
    <col min="26" max="26" width="11.81640625" style="7" bestFit="1" customWidth="1"/>
    <col min="27" max="27" width="9.1796875" style="7" customWidth="1"/>
    <col min="28" max="28" width="8.453125" style="7" customWidth="1"/>
    <col min="29" max="29" width="15.54296875" style="7" customWidth="1"/>
    <col min="30" max="30" width="11.453125" style="7" customWidth="1"/>
    <col min="31" max="31" width="13.81640625" style="7" bestFit="1" customWidth="1"/>
    <col min="32" max="32" width="10.26953125" style="2" customWidth="1"/>
    <col min="33" max="34" width="6.7265625" style="7" customWidth="1"/>
    <col min="35" max="35" width="12.81640625" style="7" bestFit="1" customWidth="1"/>
    <col min="36" max="36" width="9" style="7" customWidth="1"/>
    <col min="37" max="40" width="11.453125" style="7" customWidth="1"/>
    <col min="41" max="42" width="14.26953125" style="7" customWidth="1"/>
    <col min="43" max="43" width="17.26953125" style="7" customWidth="1"/>
    <col min="44" max="44" width="44" style="7" customWidth="1"/>
    <col min="45" max="50" width="11.453125" style="7" customWidth="1"/>
    <col min="51" max="51" width="11.453125" style="7"/>
    <col min="52" max="52" width="0" style="7" hidden="1" customWidth="1"/>
    <col min="53" max="53" width="5.7265625" style="7" hidden="1" customWidth="1"/>
    <col min="54" max="58" width="0" style="7" hidden="1" customWidth="1"/>
    <col min="59" max="59" width="13.453125" style="7" hidden="1" customWidth="1"/>
    <col min="60" max="60" width="7.1796875" style="7" hidden="1" customWidth="1"/>
    <col min="61" max="62" width="0" style="7" hidden="1" customWidth="1"/>
    <col min="63" max="63" width="26" style="7" hidden="1" customWidth="1"/>
    <col min="64" max="64" width="147.1796875" style="7" hidden="1" customWidth="1"/>
    <col min="65" max="66" width="0" style="7" hidden="1" customWidth="1"/>
    <col min="67" max="67" width="101.26953125" style="7" hidden="1" customWidth="1"/>
    <col min="68" max="70" width="0" style="7" hidden="1" customWidth="1"/>
    <col min="71" max="16384" width="11.453125" style="7"/>
  </cols>
  <sheetData>
    <row r="1" spans="2:70" ht="21" customHeight="1" thickTop="1" x14ac:dyDescent="0.35">
      <c r="B1" s="538"/>
      <c r="C1" s="539"/>
      <c r="D1" s="539"/>
      <c r="E1" s="540"/>
      <c r="F1" s="554" t="s">
        <v>116</v>
      </c>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56" t="s">
        <v>117</v>
      </c>
    </row>
    <row r="2" spans="2:70" ht="18.649999999999999" customHeight="1" x14ac:dyDescent="0.35">
      <c r="B2" s="541"/>
      <c r="C2" s="542"/>
      <c r="D2" s="542"/>
      <c r="E2" s="543"/>
      <c r="F2" s="548" t="s">
        <v>118</v>
      </c>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549"/>
      <c r="AO2" s="549"/>
      <c r="AP2" s="549"/>
      <c r="AQ2" s="549"/>
      <c r="AR2" s="557"/>
    </row>
    <row r="3" spans="2:70" ht="14.25" customHeight="1" x14ac:dyDescent="0.35">
      <c r="B3" s="541"/>
      <c r="C3" s="542"/>
      <c r="D3" s="542"/>
      <c r="E3" s="543"/>
      <c r="F3" s="550"/>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7"/>
    </row>
    <row r="4" spans="2:70" ht="6" customHeight="1" thickBot="1" x14ac:dyDescent="0.4">
      <c r="B4" s="544"/>
      <c r="C4" s="545"/>
      <c r="D4" s="545"/>
      <c r="E4" s="546"/>
      <c r="F4" s="552"/>
      <c r="G4" s="553"/>
      <c r="H4" s="553"/>
      <c r="I4" s="553"/>
      <c r="J4" s="553"/>
      <c r="K4" s="553"/>
      <c r="L4" s="553"/>
      <c r="M4" s="553"/>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8"/>
    </row>
    <row r="5" spans="2:70" ht="14.25" customHeight="1" thickTop="1" x14ac:dyDescent="0.3">
      <c r="B5" s="547" t="s">
        <v>119</v>
      </c>
      <c r="C5" s="547"/>
      <c r="D5" s="547"/>
      <c r="E5" s="127"/>
      <c r="F5" s="125"/>
      <c r="G5" s="125"/>
      <c r="H5" s="125"/>
      <c r="I5" s="125"/>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11"/>
      <c r="AM5" s="111"/>
      <c r="AN5" s="126"/>
      <c r="AO5" s="126"/>
      <c r="AP5" s="126"/>
      <c r="AQ5" s="126"/>
      <c r="AR5" s="126"/>
    </row>
    <row r="6" spans="2:70" ht="13" customHeight="1" x14ac:dyDescent="0.3">
      <c r="D6" s="127"/>
      <c r="E6" s="127"/>
      <c r="F6" s="127"/>
      <c r="G6" s="127"/>
      <c r="H6" s="127"/>
      <c r="I6" s="127"/>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11"/>
      <c r="AM6" s="111"/>
      <c r="AN6" s="126"/>
      <c r="AO6" s="126"/>
      <c r="AP6" s="126"/>
      <c r="AQ6" s="126"/>
      <c r="AR6" s="126"/>
    </row>
    <row r="7" spans="2:70" s="128" customFormat="1" ht="13.5" customHeight="1" thickBot="1" x14ac:dyDescent="0.4">
      <c r="D7" s="129"/>
      <c r="E7" s="129"/>
      <c r="F7" s="129"/>
      <c r="G7" s="130"/>
      <c r="H7" s="130"/>
      <c r="I7" s="130"/>
      <c r="J7" s="130"/>
      <c r="K7" s="130"/>
      <c r="L7" s="130"/>
      <c r="M7" s="130"/>
      <c r="N7" s="130"/>
      <c r="O7" s="130"/>
      <c r="P7" s="130"/>
      <c r="Q7" s="130"/>
      <c r="R7" s="130"/>
      <c r="S7" s="130"/>
      <c r="T7" s="130"/>
      <c r="U7" s="131"/>
      <c r="V7" s="131"/>
      <c r="W7" s="131"/>
      <c r="X7" s="131"/>
      <c r="Y7" s="131"/>
      <c r="Z7" s="131"/>
      <c r="AA7" s="131"/>
      <c r="AB7" s="131"/>
      <c r="AC7" s="131"/>
      <c r="AD7" s="131"/>
      <c r="AE7" s="131"/>
      <c r="AF7" s="132"/>
      <c r="AG7" s="131"/>
      <c r="AH7" s="131"/>
      <c r="AI7" s="131"/>
      <c r="AJ7" s="131"/>
      <c r="AK7" s="131"/>
      <c r="AL7" s="133"/>
      <c r="AM7" s="133"/>
      <c r="AN7" s="131"/>
      <c r="AO7" s="131"/>
      <c r="AP7" s="131"/>
      <c r="AQ7" s="131"/>
      <c r="AR7" s="131"/>
    </row>
    <row r="8" spans="2:70" ht="20.149999999999999" customHeight="1" thickTop="1" thickBot="1" x14ac:dyDescent="0.4">
      <c r="B8" s="868"/>
      <c r="C8" s="735"/>
      <c r="D8" s="735" t="s">
        <v>120</v>
      </c>
      <c r="E8" s="735"/>
      <c r="F8" s="735"/>
      <c r="G8" s="735"/>
      <c r="H8" s="735"/>
      <c r="I8" s="735"/>
      <c r="J8" s="735"/>
      <c r="K8" s="735"/>
      <c r="L8" s="736"/>
      <c r="M8" s="747" t="s">
        <v>121</v>
      </c>
      <c r="N8" s="735"/>
      <c r="O8" s="735"/>
      <c r="P8" s="735"/>
      <c r="Q8" s="735"/>
      <c r="R8" s="735"/>
      <c r="S8" s="735"/>
      <c r="T8" s="736"/>
      <c r="U8" s="806" t="s">
        <v>122</v>
      </c>
      <c r="V8" s="807"/>
      <c r="W8" s="807"/>
      <c r="X8" s="807"/>
      <c r="Y8" s="807"/>
      <c r="Z8" s="807"/>
      <c r="AA8" s="807"/>
      <c r="AB8" s="807"/>
      <c r="AC8" s="807"/>
      <c r="AD8" s="807"/>
      <c r="AE8" s="808"/>
      <c r="AF8" s="747" t="s">
        <v>123</v>
      </c>
      <c r="AG8" s="735"/>
      <c r="AH8" s="735"/>
      <c r="AI8" s="735"/>
      <c r="AJ8" s="735"/>
      <c r="AK8" s="735"/>
      <c r="AL8" s="735"/>
      <c r="AM8" s="735"/>
      <c r="AN8" s="748"/>
      <c r="AO8" s="734"/>
      <c r="AP8" s="735"/>
      <c r="AQ8" s="736"/>
      <c r="AR8" s="758" t="s">
        <v>124</v>
      </c>
    </row>
    <row r="9" spans="2:70" ht="25" customHeight="1" thickBot="1" x14ac:dyDescent="0.4">
      <c r="B9" s="869"/>
      <c r="C9" s="738"/>
      <c r="D9" s="738"/>
      <c r="E9" s="738"/>
      <c r="F9" s="738"/>
      <c r="G9" s="738"/>
      <c r="H9" s="738"/>
      <c r="I9" s="738"/>
      <c r="J9" s="738"/>
      <c r="K9" s="738"/>
      <c r="L9" s="739"/>
      <c r="M9" s="796"/>
      <c r="N9" s="738"/>
      <c r="O9" s="738"/>
      <c r="P9" s="738"/>
      <c r="Q9" s="738"/>
      <c r="R9" s="738"/>
      <c r="S9" s="738"/>
      <c r="T9" s="739"/>
      <c r="U9" s="756" t="s">
        <v>125</v>
      </c>
      <c r="V9" s="740" t="s">
        <v>126</v>
      </c>
      <c r="W9" s="797" t="s">
        <v>127</v>
      </c>
      <c r="X9" s="798"/>
      <c r="Y9" s="798"/>
      <c r="Z9" s="798"/>
      <c r="AA9" s="798"/>
      <c r="AB9" s="798"/>
      <c r="AC9" s="798"/>
      <c r="AD9" s="798"/>
      <c r="AE9" s="799"/>
      <c r="AF9" s="749" t="s">
        <v>128</v>
      </c>
      <c r="AG9" s="750"/>
      <c r="AH9" s="750"/>
      <c r="AI9" s="750"/>
      <c r="AJ9" s="750"/>
      <c r="AK9" s="751"/>
      <c r="AL9" s="749" t="s">
        <v>129</v>
      </c>
      <c r="AM9" s="750"/>
      <c r="AN9" s="750"/>
      <c r="AO9" s="737"/>
      <c r="AP9" s="738"/>
      <c r="AQ9" s="739"/>
      <c r="AR9" s="759"/>
    </row>
    <row r="10" spans="2:70" ht="63.75" customHeight="1" x14ac:dyDescent="0.35">
      <c r="B10" s="742" t="s">
        <v>130</v>
      </c>
      <c r="C10" s="742" t="s">
        <v>131</v>
      </c>
      <c r="D10" s="742" t="s">
        <v>132</v>
      </c>
      <c r="E10" s="740" t="s">
        <v>133</v>
      </c>
      <c r="F10" s="740" t="s">
        <v>134</v>
      </c>
      <c r="G10" s="740" t="s">
        <v>135</v>
      </c>
      <c r="H10" s="740" t="s">
        <v>136</v>
      </c>
      <c r="I10" s="740" t="s">
        <v>137</v>
      </c>
      <c r="J10" s="740" t="s">
        <v>138</v>
      </c>
      <c r="K10" s="740" t="s">
        <v>139</v>
      </c>
      <c r="L10" s="740" t="s">
        <v>70</v>
      </c>
      <c r="M10" s="804" t="s">
        <v>140</v>
      </c>
      <c r="N10" s="804" t="s">
        <v>141</v>
      </c>
      <c r="O10" s="804" t="s">
        <v>142</v>
      </c>
      <c r="P10" s="740" t="s">
        <v>143</v>
      </c>
      <c r="Q10" s="740" t="s">
        <v>144</v>
      </c>
      <c r="R10" s="740" t="s">
        <v>142</v>
      </c>
      <c r="S10" s="134"/>
      <c r="T10" s="740" t="s">
        <v>145</v>
      </c>
      <c r="U10" s="757"/>
      <c r="V10" s="741"/>
      <c r="W10" s="800" t="s">
        <v>146</v>
      </c>
      <c r="X10" s="801"/>
      <c r="Y10" s="801"/>
      <c r="Z10" s="801"/>
      <c r="AA10" s="801"/>
      <c r="AB10" s="802"/>
      <c r="AC10" s="800" t="s">
        <v>147</v>
      </c>
      <c r="AD10" s="801"/>
      <c r="AE10" s="803"/>
      <c r="AF10" s="756" t="s">
        <v>148</v>
      </c>
      <c r="AG10" s="752" t="s">
        <v>142</v>
      </c>
      <c r="AH10" s="752" t="s">
        <v>149</v>
      </c>
      <c r="AI10" s="752" t="s">
        <v>150</v>
      </c>
      <c r="AJ10" s="752" t="s">
        <v>142</v>
      </c>
      <c r="AK10" s="752" t="s">
        <v>151</v>
      </c>
      <c r="AL10" s="752" t="s">
        <v>152</v>
      </c>
      <c r="AM10" s="752" t="s">
        <v>153</v>
      </c>
      <c r="AN10" s="752" t="s">
        <v>154</v>
      </c>
      <c r="AO10" s="752" t="s">
        <v>155</v>
      </c>
      <c r="AP10" s="752" t="s">
        <v>156</v>
      </c>
      <c r="AQ10" s="754" t="s">
        <v>157</v>
      </c>
      <c r="AR10" s="732" t="s">
        <v>158</v>
      </c>
    </row>
    <row r="11" spans="2:70" ht="87" thickBot="1" x14ac:dyDescent="0.4">
      <c r="B11" s="743"/>
      <c r="C11" s="743"/>
      <c r="D11" s="743"/>
      <c r="E11" s="741"/>
      <c r="F11" s="741"/>
      <c r="G11" s="741"/>
      <c r="H11" s="741"/>
      <c r="I11" s="741"/>
      <c r="J11" s="741"/>
      <c r="K11" s="741"/>
      <c r="L11" s="741"/>
      <c r="M11" s="805"/>
      <c r="N11" s="805"/>
      <c r="O11" s="805"/>
      <c r="P11" s="741"/>
      <c r="Q11" s="741"/>
      <c r="R11" s="741"/>
      <c r="S11" s="135"/>
      <c r="T11" s="741"/>
      <c r="U11" s="757"/>
      <c r="V11" s="741"/>
      <c r="W11" s="136" t="s">
        <v>159</v>
      </c>
      <c r="X11" s="137" t="s">
        <v>37</v>
      </c>
      <c r="Y11" s="137" t="s">
        <v>160</v>
      </c>
      <c r="Z11" s="136" t="s">
        <v>38</v>
      </c>
      <c r="AA11" s="137" t="s">
        <v>39</v>
      </c>
      <c r="AB11" s="136" t="s">
        <v>161</v>
      </c>
      <c r="AC11" s="136" t="s">
        <v>50</v>
      </c>
      <c r="AD11" s="136" t="s">
        <v>51</v>
      </c>
      <c r="AE11" s="138" t="s">
        <v>52</v>
      </c>
      <c r="AF11" s="757"/>
      <c r="AG11" s="753"/>
      <c r="AH11" s="753"/>
      <c r="AI11" s="753"/>
      <c r="AJ11" s="753"/>
      <c r="AK11" s="753"/>
      <c r="AL11" s="753"/>
      <c r="AM11" s="753"/>
      <c r="AN11" s="753"/>
      <c r="AO11" s="753"/>
      <c r="AP11" s="753"/>
      <c r="AQ11" s="755"/>
      <c r="AR11" s="733"/>
    </row>
    <row r="12" spans="2:70" ht="135.75" customHeight="1" thickTop="1" thickBot="1" x14ac:dyDescent="0.4">
      <c r="B12" s="870" t="s">
        <v>162</v>
      </c>
      <c r="C12" s="559" t="s">
        <v>92</v>
      </c>
      <c r="D12" s="744" t="s">
        <v>163</v>
      </c>
      <c r="E12" s="576" t="s">
        <v>4</v>
      </c>
      <c r="F12" s="624" t="s">
        <v>164</v>
      </c>
      <c r="G12" s="627" t="s">
        <v>165</v>
      </c>
      <c r="H12" s="627" t="s">
        <v>166</v>
      </c>
      <c r="I12" s="588" t="s">
        <v>30</v>
      </c>
      <c r="J12" s="588" t="s">
        <v>25</v>
      </c>
      <c r="K12" s="591" t="s">
        <v>167</v>
      </c>
      <c r="L12" s="588" t="s">
        <v>168</v>
      </c>
      <c r="M12" s="594" t="s">
        <v>169</v>
      </c>
      <c r="N12" s="597" t="str">
        <f>+IF(M12="","",IF(M12=$BO$15,$BN$15,IF(M12=$BO$16,$BN$16,IF(M12=$BO$17,$BN$17,IF(M12=$BO$18,$BN$18,IF(M12=$BO$19,$BN$19))))))</f>
        <v>Alta</v>
      </c>
      <c r="O12" s="600">
        <f>+IF(M12="","",IF(M12=$BO$15,$BR$15,IF(M12=$BO$16,$BR$16,IF(M12=$BO$17,$BR$17,IF(M12=$BO$18,$BR$18,IF(M12=$BO$19,$BR$19))))))</f>
        <v>0.8</v>
      </c>
      <c r="P12" s="594" t="s">
        <v>170</v>
      </c>
      <c r="Q12" s="603" t="str">
        <f>+IF(P12="","",IF(P12='[3]Mapa de Calor inherente'!$AF$6,'[3]Mapa de Calor inherente'!$AD$6,IF(P12='[3]Mapa de Calor inherente'!$AF$7,'[3]Mapa de Calor inherente'!$AD$7,IF(P12='[3]Mapa de Calor inherente'!$AF$8,'[3]Mapa de Calor inherente'!$AD$8,IF(P12='[3]Mapa de Calor inherente'!$AF$9,'[3]Mapa de Calor inherente'!$AD$9,IF(P12='[3]Mapa de Calor inherente'!$AF$10,'[3]Mapa de Calor inherente'!$AD$10,IF(P12='[3]Mapa de Calor inherente'!$AG$6,'[3]Mapa de Calor inherente'!$AD$6,IF(P12='[3]Mapa de Calor inherente'!$AG$7,'[3]Mapa de Calor inherente'!$AD$7,IF(P12='[3]Mapa de Calor inherente'!$AG$8,'[3]Mapa de Calor inherente'!$AD$8,IF(P12='[3]Mapa de Calor inherente'!$AG$9,'[3]Mapa de Calor inherente'!$AD$9,IF(P12='[3]Mapa de Calor inherente'!$AG$10,'[3]Mapa de Calor inherente'!$AD$10,IF(P12='[3]Mapa de Calor inherente'!$AD$8,'[3]Mapa de Calor inherente'!$AD$8,IF(P12='[3]Mapa de Calor inherente'!$AD$9,'[3]Mapa de Calor inherente'!$AD$9,IF(P12='[3]Mapa de Calor inherente'!$AD$10,'[3]Mapa de Calor inherente'!$AD$10))))))))))))))</f>
        <v>Catastrófico</v>
      </c>
      <c r="R12" s="600">
        <f>+IF(P12="","",IF(P12='[3]Mapa de Calor inherente'!$AF$6,'[3]Mapa de Calor inherente'!$AE$6,IF(P12='[3]Mapa de Calor inherente'!$AF$7,'[3]Mapa de Calor inherente'!$AE$7,IF(P12='[3]Mapa de Calor inherente'!$AF$8,'[3]Mapa de Calor inherente'!$AE$8,IF(P12='[3]Mapa de Calor inherente'!$AF$9,'[3]Mapa de Calor inherente'!$AE$9,IF(P12='[3]Mapa de Calor inherente'!$AF$10,'[3]Mapa de Calor inherente'!$AE$10,IF(P12='[3]Mapa de Calor inherente'!$AG$6,'[3]Mapa de Calor inherente'!$AE$6,IF(P12='[3]Mapa de Calor inherente'!$AG$7,'[3]Mapa de Calor inherente'!$AE$7,IF(P12='[3]Mapa de Calor inherente'!$AG$8,'[3]Mapa de Calor inherente'!$AE$8,IF(P12='[3]Mapa de Calor inherente'!$AG$9,'[3]Mapa de Calor inherente'!$AE$9,IF(P12='[3]Mapa de Calor inherente'!$AG$10,'[3]Mapa de Calor inherente'!$AE$10,IF(P12='[3]Mapa de Calor inherente'!$AD$8,'[3]Mapa de Calor inherente'!$AE$8,IF(P12='[3]Mapa de Calor inherente'!$AD$9,'[3]Mapa de Calor inherente'!$AE$9,IF(P12='[3]Mapa de Calor inherente'!$AD$10,'[3]Mapa de Calor inherente'!$AE$10))))))))))))))</f>
        <v>1</v>
      </c>
      <c r="S12" s="282">
        <f>IF(O12="","",IF(R12="","",(O12*R12)))</f>
        <v>0.8</v>
      </c>
      <c r="T12" s="603" t="str">
        <f>+IF(N12=$BB$17,IF(Q12=$BC$16,$BC$17,IF(Q12=$BD$16,$BD$17,IF(Q12=$BE$16,$BE$17,IF(Q12=$BF$16,$BF$17,IF(Q12=$BG$16,$BG$17))))),IF(N12=$BB$18,IF(Q12=$BC$16,$BC$18,IF(Q12=$BD$16,$BD$18,IF(Q12=$BE$16,$BE$18,IF(Q12=$BF$16,$BF$18,IF(Q12=$BG$16,$BG$18))))),IF(N12=$BB$19,IF(Q12=$BC$16,$BC$19,IF(Q12=$BD$16,$BD$19,IF(Q12=$BE$16,$BE$19,IF(Q12=$BF$16,$BF$19,IF(Q12=$BG$16,$BG$19))))),IF(N12=$BB$20,IF(Q12=$BC$16,$BC$20,IF(Q12=$BD$16,$BD$20,IF(Q12=$BE$16,$BE$20,IF(Q12=$BF$16,$BF$20,IF(Q12=$BG$16,$BG$20))))),IF(N12=$BB$21,IF(Q12=$BC$16,$BC$21,IF(Q12=$BD$16,$BD$21,IF(Q12=$BE$16,$BE$21,IF(Q12=$BF$16,$BF$21,IF(Q12=$BG$16,$BG$21))))),"")))))</f>
        <v>Extremo</v>
      </c>
      <c r="U12" s="139" t="s">
        <v>171</v>
      </c>
      <c r="V12" s="397" t="s">
        <v>172</v>
      </c>
      <c r="W12" s="295" t="s">
        <v>40</v>
      </c>
      <c r="X12" s="296">
        <f>IF(W12=[3]Listas!$B$46,[3]Listas!$C$46,IF(W12=[3]Listas!$B$47,[3]Listas!$C$47,IF(W12=[3]Listas!$B$48,[3]Listas!$C$48,"")))</f>
        <v>0.25</v>
      </c>
      <c r="Y12" s="297" t="str">
        <f>IF(OR(W12=[3]Listas!$F$53,W12=[3]Listas!$F$54),[3]Listas!$G$53,IF(W12=[3]Listas!$F$55,[3]Listas!$G$55,""))</f>
        <v>Probabilidad</v>
      </c>
      <c r="Z12" s="295" t="s">
        <v>43</v>
      </c>
      <c r="AA12" s="296">
        <f>+IF(Z12=[3]Listas!$E$46,[3]Listas!$F$46,IF(Z12=[3]Listas!$E$47,[3]Listas!$F$47,""))</f>
        <v>0.15</v>
      </c>
      <c r="AB12" s="140">
        <f>IFERROR(X12+AA12,"")</f>
        <v>0.4</v>
      </c>
      <c r="AC12" s="291" t="s">
        <v>57</v>
      </c>
      <c r="AD12" s="295" t="s">
        <v>58</v>
      </c>
      <c r="AE12" s="298" t="s">
        <v>59</v>
      </c>
      <c r="AF12" s="299" t="str">
        <f t="shared" ref="AF12:AF75" si="0">IF(AG12="","",IF(AG12&lt;=20%,"Muy baja",IF(AG12&lt;=40%,"Baja",IF(AG12&lt;=60%,"Media",IF(AG12&lt;=80%,"Alta","Muy alta")))))</f>
        <v>Media</v>
      </c>
      <c r="AG12" s="141">
        <f>IF(Y12=[3]Listas!$G$53,O12-(O12*AB12),O12)</f>
        <v>0.48</v>
      </c>
      <c r="AH12" s="561">
        <f>+IF(AG21="","",AG21)</f>
        <v>4.354559999999999E-2</v>
      </c>
      <c r="AI12" s="299" t="str">
        <f>IF(AJ12="","",IF(AJ12&lt;=20%,"Leve",IF(AJ12&lt;=40%,"Menor",IF(AJ12&lt;=60%,"Moderado",IF(AJ12&lt;=80%,"Mayor","Catastrófico")))))</f>
        <v>Catastrófico</v>
      </c>
      <c r="AJ12" s="141">
        <f>IF(Y12=[3]Listas!$G$55,R12-(R12*AB12),R12)</f>
        <v>1</v>
      </c>
      <c r="AK12" s="561">
        <f>+IF(AJ21="","",AJ21)</f>
        <v>0.75</v>
      </c>
      <c r="AL12" s="564" t="str">
        <f>+IF(AH12=0,"",IF(AH12&lt;=$BA$21,$BB$21,IF(AH12&lt;=$BA$20,$BB$20,IF(AH12&lt;=$BA$19,$BB$19,IF(AH12&lt;=$BA$18,$BB$18,IF(AH12&lt;=$BA$17,$BB$17,""))))))</f>
        <v>Muy Baja</v>
      </c>
      <c r="AM12" s="564" t="str">
        <f>+IF(AK12=0,"",IF(AK12&lt;=$BC$15,$BC$16,IF(AK12&lt;=$BD$15,$BD$16,IF(AK12&lt;=$BE$15,$BE$16,IF(AK12&lt;=$BF$15,$BF$16,IF(AK12&lt;=$BG$15,$BG$16,""))))))</f>
        <v>Mayor</v>
      </c>
      <c r="AN12" s="564" t="str">
        <f>IF(AL12=$BB$17,IF(AM12=$BC$16,$BC$17,IF(AM12=$BD$16,$BD$17,IF(AM12=$BE$16,$BE$17,IF(AM12=$BF$16,$BF$17,IF(AM12=$BG$16,$BG$17))))),IF(AL12=$BB$18,IF(AM12=$BC$16,$BC$18,IF(AM12=$BD$16,$BD$18,IF(AM12=$BE$16,$BE$18,IF(AM12=$BF$16,$BF$18,IF(AM12=$BG$16,$BG$18))))),IF(AL12=$BB$19,IF(AM12=$BC$16,$BC$19,IF(AM12=$BD$16,$BD$19,IF(AM12=$BE$16,$BE$19,IF(AM12=$BF$16,$BF$19,IF(AM12=$BG$16,$BG$19))))),IF(AL12=$BB$20,IF(AM12=$BC$16,$BC$20,IF(AM12=$BD$16,$BD$20,IF(AM12=$BE$16,$BE$20,IF(AM12=$BF$16,$BF$20,IF(AM12=$BG$16,$BG$20))))),IF(AL12=$BB$21,IF(AM12=$BC$16,$BC$21,IF(AM12=$BD$16,$BD$21,IF(AM12=$BE$16,$BE$21,IF(AM12=$BF$16,$BF$21,IF(AM12=$BG$16,$BG$21))))),"")))))</f>
        <v>Alto</v>
      </c>
      <c r="AO12" s="567" t="str">
        <f>IF(AP12="","",IF(AP12=[3]Listas!$F$61,[3]Listas!$G$61,IF(AP12=[3]Listas!$F$63,[3]Listas!$G$63,IF(AP12=[3]Listas!$F$64,[3]Listas!$G$64))))</f>
        <v>Requiere Plan de Acción</v>
      </c>
      <c r="AP12" s="630" t="str">
        <f>IF(AN12="","",IF(OR(AN12=[3]Listas!$E$61,AN12=[3]Listas!$E$62),[3]Listas!$F$61,IF(AN12=[3]Listas!$E$63,[3]Listas!$F$63,IF(AN12=[3]Listas!$E$64,[3]Listas!$F$64))))</f>
        <v>Reducir, evitar, compartir o transferir el riesgo</v>
      </c>
      <c r="AQ12" s="300" t="s">
        <v>80</v>
      </c>
      <c r="AR12" s="116" t="s">
        <v>173</v>
      </c>
    </row>
    <row r="13" spans="2:70" ht="138" customHeight="1" thickTop="1" thickBot="1" x14ac:dyDescent="0.35">
      <c r="B13" s="870"/>
      <c r="C13" s="559"/>
      <c r="D13" s="745"/>
      <c r="E13" s="577"/>
      <c r="F13" s="625"/>
      <c r="G13" s="628"/>
      <c r="H13" s="628"/>
      <c r="I13" s="589"/>
      <c r="J13" s="589"/>
      <c r="K13" s="592"/>
      <c r="L13" s="589"/>
      <c r="M13" s="595"/>
      <c r="N13" s="598"/>
      <c r="O13" s="601"/>
      <c r="P13" s="595"/>
      <c r="Q13" s="604"/>
      <c r="R13" s="601"/>
      <c r="S13" s="283"/>
      <c r="T13" s="604"/>
      <c r="U13" s="142" t="s">
        <v>174</v>
      </c>
      <c r="V13" s="398" t="s">
        <v>175</v>
      </c>
      <c r="W13" s="301" t="s">
        <v>40</v>
      </c>
      <c r="X13" s="302">
        <f>IF(W13=[3]Listas!$B$46,[3]Listas!$C$46,IF(W13=[3]Listas!$B$47,[3]Listas!$C$47,IF(W13=[3]Listas!$B$48,[3]Listas!$C$48,"")))</f>
        <v>0.25</v>
      </c>
      <c r="Y13" s="303" t="str">
        <f>IF(OR(W13=[3]Listas!$F$53,W13=[3]Listas!$F$54),[3]Listas!$G$53,IF(W13=[3]Listas!$F$55,[3]Listas!$G$55,""))</f>
        <v>Probabilidad</v>
      </c>
      <c r="Z13" s="301" t="s">
        <v>43</v>
      </c>
      <c r="AA13" s="143">
        <f>+IF(Z13=[3]Listas!$E$46,[3]Listas!$F$46,IF(Z13=[3]Listas!$E$47,[3]Listas!$F$47,""))</f>
        <v>0.15</v>
      </c>
      <c r="AB13" s="144">
        <f>IFERROR(X13+AA13,"")</f>
        <v>0.4</v>
      </c>
      <c r="AC13" s="301" t="s">
        <v>57</v>
      </c>
      <c r="AD13" s="301" t="s">
        <v>58</v>
      </c>
      <c r="AE13" s="304" t="s">
        <v>59</v>
      </c>
      <c r="AF13" s="305" t="str">
        <f t="shared" si="0"/>
        <v>Baja</v>
      </c>
      <c r="AG13" s="145">
        <f>IF(Y13=[3]Listas!$G$53,AG12-(AG12*AB13),AG12)</f>
        <v>0.28799999999999998</v>
      </c>
      <c r="AH13" s="562"/>
      <c r="AI13" s="305" t="str">
        <f t="shared" ref="AI13:AI31" si="1">IF(AJ13="","",IF(AJ13&lt;=20%,"Leve",IF(AJ13&lt;=40%,"Menor",IF(AJ13&lt;=60%,"Moderado",IF(AJ13&lt;=80%,"Mayor","Catastrófico")))))</f>
        <v>Catastrófico</v>
      </c>
      <c r="AJ13" s="145">
        <f>IF(Y13=[3]Listas!$G$55,AJ12-(AJ12*AB13),AJ12)</f>
        <v>1</v>
      </c>
      <c r="AK13" s="562"/>
      <c r="AL13" s="565"/>
      <c r="AM13" s="565"/>
      <c r="AN13" s="565"/>
      <c r="AO13" s="568"/>
      <c r="AP13" s="631"/>
      <c r="AQ13" s="306" t="s">
        <v>90</v>
      </c>
      <c r="AR13" s="117" t="s">
        <v>176</v>
      </c>
      <c r="AZ13" s="633" t="s">
        <v>177</v>
      </c>
      <c r="BA13" s="634"/>
      <c r="BB13" s="634"/>
      <c r="BC13" s="634"/>
      <c r="BD13" s="634"/>
      <c r="BE13" s="634"/>
      <c r="BF13" s="634"/>
      <c r="BG13" s="635"/>
      <c r="BI13" s="636" t="s">
        <v>178</v>
      </c>
      <c r="BJ13" s="637"/>
      <c r="BK13" s="637"/>
      <c r="BL13" s="638"/>
      <c r="BN13" s="639" t="s">
        <v>179</v>
      </c>
      <c r="BO13" s="640"/>
      <c r="BP13" s="641"/>
      <c r="BQ13" s="641"/>
      <c r="BR13" s="642"/>
    </row>
    <row r="14" spans="2:70" ht="148.5" customHeight="1" thickTop="1" thickBot="1" x14ac:dyDescent="0.35">
      <c r="B14" s="870"/>
      <c r="C14" s="559"/>
      <c r="D14" s="745"/>
      <c r="E14" s="577"/>
      <c r="F14" s="625"/>
      <c r="G14" s="628"/>
      <c r="H14" s="628"/>
      <c r="I14" s="589"/>
      <c r="J14" s="589"/>
      <c r="K14" s="592"/>
      <c r="L14" s="589"/>
      <c r="M14" s="595"/>
      <c r="N14" s="598"/>
      <c r="O14" s="601"/>
      <c r="P14" s="595"/>
      <c r="Q14" s="604"/>
      <c r="R14" s="601"/>
      <c r="S14" s="283"/>
      <c r="T14" s="604"/>
      <c r="U14" s="142" t="s">
        <v>180</v>
      </c>
      <c r="V14" s="398" t="s">
        <v>181</v>
      </c>
      <c r="W14" s="301" t="s">
        <v>40</v>
      </c>
      <c r="X14" s="302">
        <f>IF(W14=[3]Listas!$B$46,[3]Listas!$C$46,IF(W14=[3]Listas!$B$47,[3]Listas!$C$47,IF(W14=[3]Listas!$B$48,[3]Listas!$C$48,"")))</f>
        <v>0.25</v>
      </c>
      <c r="Y14" s="303" t="str">
        <f>IF(OR(W14=[3]Listas!$F$53,W14=[3]Listas!$F$54),[3]Listas!$G$53,IF(W14=[3]Listas!$F$55,[3]Listas!$G$55,""))</f>
        <v>Probabilidad</v>
      </c>
      <c r="Z14" s="301" t="s">
        <v>43</v>
      </c>
      <c r="AA14" s="143">
        <f>+IF(Z14=[3]Listas!$E$46,[3]Listas!$F$46,IF(Z14=[3]Listas!$E$47,[3]Listas!$F$47,""))</f>
        <v>0.15</v>
      </c>
      <c r="AB14" s="144">
        <f>IFERROR(X14+AA14,"")</f>
        <v>0.4</v>
      </c>
      <c r="AC14" s="301" t="s">
        <v>57</v>
      </c>
      <c r="AD14" s="301" t="s">
        <v>58</v>
      </c>
      <c r="AE14" s="304" t="s">
        <v>59</v>
      </c>
      <c r="AF14" s="305" t="str">
        <f t="shared" si="0"/>
        <v>Muy baja</v>
      </c>
      <c r="AG14" s="145">
        <f>IF(Y14=[3]Listas!$G$53,AG13-(AG13*AB14),AG13)</f>
        <v>0.17279999999999998</v>
      </c>
      <c r="AH14" s="562"/>
      <c r="AI14" s="305" t="str">
        <f t="shared" si="1"/>
        <v>Catastrófico</v>
      </c>
      <c r="AJ14" s="145">
        <f>IF(Y14=[3]Listas!$G$55,AJ13-(AJ13*AB14),AJ13)</f>
        <v>1</v>
      </c>
      <c r="AK14" s="562"/>
      <c r="AL14" s="565"/>
      <c r="AM14" s="565"/>
      <c r="AN14" s="565"/>
      <c r="AO14" s="568"/>
      <c r="AP14" s="631"/>
      <c r="AQ14" s="306" t="s">
        <v>90</v>
      </c>
      <c r="AR14" s="117" t="s">
        <v>182</v>
      </c>
      <c r="AZ14" s="146"/>
      <c r="BA14" s="147"/>
      <c r="BB14" s="148"/>
      <c r="BC14" s="643" t="s">
        <v>70</v>
      </c>
      <c r="BD14" s="643"/>
      <c r="BE14" s="643"/>
      <c r="BF14" s="643"/>
      <c r="BG14" s="643"/>
      <c r="BI14" s="149" t="s">
        <v>183</v>
      </c>
      <c r="BJ14" s="150" t="s">
        <v>184</v>
      </c>
      <c r="BK14" s="150" t="s">
        <v>185</v>
      </c>
      <c r="BL14" s="151" t="s">
        <v>186</v>
      </c>
      <c r="BN14" s="149" t="s">
        <v>183</v>
      </c>
      <c r="BO14" s="150" t="s">
        <v>187</v>
      </c>
      <c r="BP14" s="152" t="s">
        <v>188</v>
      </c>
      <c r="BQ14" s="152" t="s">
        <v>189</v>
      </c>
      <c r="BR14" s="151" t="s">
        <v>60</v>
      </c>
    </row>
    <row r="15" spans="2:70" ht="130.5" customHeight="1" thickTop="1" thickBot="1" x14ac:dyDescent="0.4">
      <c r="B15" s="870"/>
      <c r="C15" s="559"/>
      <c r="D15" s="745"/>
      <c r="E15" s="577"/>
      <c r="F15" s="625"/>
      <c r="G15" s="628"/>
      <c r="H15" s="628"/>
      <c r="I15" s="589"/>
      <c r="J15" s="589"/>
      <c r="K15" s="592"/>
      <c r="L15" s="589"/>
      <c r="M15" s="595"/>
      <c r="N15" s="598"/>
      <c r="O15" s="601"/>
      <c r="P15" s="595"/>
      <c r="Q15" s="604"/>
      <c r="R15" s="601"/>
      <c r="S15" s="283"/>
      <c r="T15" s="604"/>
      <c r="U15" s="142" t="s">
        <v>190</v>
      </c>
      <c r="V15" s="398" t="s">
        <v>191</v>
      </c>
      <c r="W15" s="301" t="s">
        <v>40</v>
      </c>
      <c r="X15" s="302">
        <f>IF(W15=[3]Listas!$B$46,[3]Listas!$C$46,IF(W15=[3]Listas!$B$47,[3]Listas!$C$47,IF(W15=[3]Listas!$B$48,[3]Listas!$C$48,"")))</f>
        <v>0.25</v>
      </c>
      <c r="Y15" s="303" t="str">
        <f>IF(OR(W15=[3]Listas!$F$53,W15=[3]Listas!$F$54),[3]Listas!$G$53,IF(W15=[3]Listas!$F$55,[3]Listas!$G$55,""))</f>
        <v>Probabilidad</v>
      </c>
      <c r="Z15" s="301" t="s">
        <v>43</v>
      </c>
      <c r="AA15" s="143">
        <f>+IF(Z15=[3]Listas!$E$46,[3]Listas!$F$46,IF(Z15=[3]Listas!$E$47,[3]Listas!$F$47,""))</f>
        <v>0.15</v>
      </c>
      <c r="AB15" s="144">
        <f t="shared" ref="AB15:AB21" si="2">IFERROR(X15+AA15,"")</f>
        <v>0.4</v>
      </c>
      <c r="AC15" s="301" t="s">
        <v>57</v>
      </c>
      <c r="AD15" s="301" t="s">
        <v>58</v>
      </c>
      <c r="AE15" s="304" t="s">
        <v>59</v>
      </c>
      <c r="AF15" s="305" t="str">
        <f t="shared" si="0"/>
        <v>Muy baja</v>
      </c>
      <c r="AG15" s="145">
        <f>IF(Y15=[3]Listas!$G$53,AG14-(AG14*AB15),AG14)</f>
        <v>0.10367999999999998</v>
      </c>
      <c r="AH15" s="562"/>
      <c r="AI15" s="305" t="str">
        <f t="shared" si="1"/>
        <v>Catastrófico</v>
      </c>
      <c r="AJ15" s="145">
        <f>IF(Y15=[3]Listas!$G$55,AJ14-(AJ14*AB15),AJ14)</f>
        <v>1</v>
      </c>
      <c r="AK15" s="562"/>
      <c r="AL15" s="565"/>
      <c r="AM15" s="565"/>
      <c r="AN15" s="565"/>
      <c r="AO15" s="568"/>
      <c r="AP15" s="631"/>
      <c r="AQ15" s="306"/>
      <c r="AR15" s="117"/>
      <c r="AZ15" s="153"/>
      <c r="BA15" s="154"/>
      <c r="BB15" s="155" t="s">
        <v>192</v>
      </c>
      <c r="BC15" s="156">
        <v>0.2</v>
      </c>
      <c r="BD15" s="156">
        <v>0.4</v>
      </c>
      <c r="BE15" s="156">
        <v>0.6</v>
      </c>
      <c r="BF15" s="156">
        <v>0.8</v>
      </c>
      <c r="BG15" s="156">
        <v>1</v>
      </c>
      <c r="BI15" s="157" t="s">
        <v>193</v>
      </c>
      <c r="BJ15" s="158">
        <v>0.2</v>
      </c>
      <c r="BK15" s="159" t="s">
        <v>194</v>
      </c>
      <c r="BL15" s="160" t="s">
        <v>195</v>
      </c>
      <c r="BN15" s="157" t="s">
        <v>196</v>
      </c>
      <c r="BO15" s="159" t="s">
        <v>197</v>
      </c>
      <c r="BP15" s="161">
        <v>0</v>
      </c>
      <c r="BQ15" s="161">
        <v>2</v>
      </c>
      <c r="BR15" s="162">
        <v>0.2</v>
      </c>
    </row>
    <row r="16" spans="2:70" ht="108" customHeight="1" thickTop="1" thickBot="1" x14ac:dyDescent="0.4">
      <c r="B16" s="870"/>
      <c r="C16" s="559"/>
      <c r="D16" s="745"/>
      <c r="E16" s="577"/>
      <c r="F16" s="625"/>
      <c r="G16" s="628"/>
      <c r="H16" s="628"/>
      <c r="I16" s="589"/>
      <c r="J16" s="589"/>
      <c r="K16" s="592"/>
      <c r="L16" s="589"/>
      <c r="M16" s="595"/>
      <c r="N16" s="598"/>
      <c r="O16" s="601"/>
      <c r="P16" s="595"/>
      <c r="Q16" s="604"/>
      <c r="R16" s="601"/>
      <c r="S16" s="283"/>
      <c r="T16" s="604"/>
      <c r="U16" s="142" t="s">
        <v>198</v>
      </c>
      <c r="V16" s="398" t="s">
        <v>199</v>
      </c>
      <c r="W16" s="301" t="s">
        <v>40</v>
      </c>
      <c r="X16" s="302">
        <f>IF(W16=[3]Listas!$B$46,[3]Listas!$C$46,IF(W16=[3]Listas!$B$47,[3]Listas!$C$47,IF(W16=[3]Listas!$B$48,[3]Listas!$C$48,"")))</f>
        <v>0.25</v>
      </c>
      <c r="Y16" s="303" t="str">
        <f>IF(OR(W16=[3]Listas!$F$53,W16=[3]Listas!$F$54),[3]Listas!$G$53,IF(W16=[3]Listas!$F$55,[3]Listas!$G$55,""))</f>
        <v>Probabilidad</v>
      </c>
      <c r="Z16" s="301" t="s">
        <v>43</v>
      </c>
      <c r="AA16" s="143">
        <f>+IF(Z16=[3]Listas!$E$46,[3]Listas!$F$46,IF(Z16=[3]Listas!$E$47,[3]Listas!$F$47,""))</f>
        <v>0.15</v>
      </c>
      <c r="AB16" s="144">
        <f t="shared" si="2"/>
        <v>0.4</v>
      </c>
      <c r="AC16" s="301" t="s">
        <v>57</v>
      </c>
      <c r="AD16" s="301" t="s">
        <v>58</v>
      </c>
      <c r="AE16" s="304" t="s">
        <v>59</v>
      </c>
      <c r="AF16" s="305" t="str">
        <f t="shared" si="0"/>
        <v>Muy baja</v>
      </c>
      <c r="AG16" s="145">
        <f>IF(Y16=[3]Listas!$G$53,AG15-(AG15*AB16),AG15)</f>
        <v>6.2207999999999986E-2</v>
      </c>
      <c r="AH16" s="562"/>
      <c r="AI16" s="305" t="str">
        <f t="shared" si="1"/>
        <v>Catastrófico</v>
      </c>
      <c r="AJ16" s="145">
        <f>IF(Y16=[3]Listas!$G$55,AJ15-(AJ15*AB16),AJ15)</f>
        <v>1</v>
      </c>
      <c r="AK16" s="562"/>
      <c r="AL16" s="565"/>
      <c r="AM16" s="565"/>
      <c r="AN16" s="565"/>
      <c r="AO16" s="568"/>
      <c r="AP16" s="631"/>
      <c r="AQ16" s="306"/>
      <c r="AR16" s="117"/>
      <c r="AZ16" s="153"/>
      <c r="BA16" s="154"/>
      <c r="BB16" s="163" t="s">
        <v>200</v>
      </c>
      <c r="BC16" s="164" t="s">
        <v>193</v>
      </c>
      <c r="BD16" s="164" t="s">
        <v>201</v>
      </c>
      <c r="BE16" s="164" t="s">
        <v>83</v>
      </c>
      <c r="BF16" s="164" t="s">
        <v>202</v>
      </c>
      <c r="BG16" s="164" t="s">
        <v>203</v>
      </c>
      <c r="BI16" s="165" t="s">
        <v>201</v>
      </c>
      <c r="BJ16" s="158">
        <v>0.4</v>
      </c>
      <c r="BK16" s="166" t="s">
        <v>204</v>
      </c>
      <c r="BL16" s="167" t="s">
        <v>205</v>
      </c>
      <c r="BN16" s="165" t="s">
        <v>206</v>
      </c>
      <c r="BO16" s="166" t="s">
        <v>207</v>
      </c>
      <c r="BP16" s="161">
        <v>3</v>
      </c>
      <c r="BQ16" s="161">
        <v>24</v>
      </c>
      <c r="BR16" s="162">
        <v>0.4</v>
      </c>
    </row>
    <row r="17" spans="2:70" ht="141" thickTop="1" thickBot="1" x14ac:dyDescent="0.4">
      <c r="B17" s="870"/>
      <c r="C17" s="559"/>
      <c r="D17" s="745"/>
      <c r="E17" s="577"/>
      <c r="F17" s="625"/>
      <c r="G17" s="628"/>
      <c r="H17" s="628"/>
      <c r="I17" s="589"/>
      <c r="J17" s="589"/>
      <c r="K17" s="592"/>
      <c r="L17" s="589"/>
      <c r="M17" s="595"/>
      <c r="N17" s="598"/>
      <c r="O17" s="601"/>
      <c r="P17" s="595"/>
      <c r="Q17" s="604"/>
      <c r="R17" s="601"/>
      <c r="S17" s="283"/>
      <c r="T17" s="604"/>
      <c r="U17" s="142" t="s">
        <v>208</v>
      </c>
      <c r="V17" s="398" t="s">
        <v>209</v>
      </c>
      <c r="W17" s="301" t="s">
        <v>44</v>
      </c>
      <c r="X17" s="302">
        <f>IF(W17=[3]Listas!$B$46,[3]Listas!$C$46,IF(W17=[3]Listas!$B$47,[3]Listas!$C$47,IF(W17=[3]Listas!$B$48,[3]Listas!$C$48,"")))</f>
        <v>0.1</v>
      </c>
      <c r="Y17" s="303" t="str">
        <f>IF(OR(W17=[3]Listas!$F$53,W17=[3]Listas!$F$54),[3]Listas!$G$53,IF(W17=[3]Listas!$F$55,[3]Listas!$G$55,""))</f>
        <v>Impacto</v>
      </c>
      <c r="Z17" s="301" t="s">
        <v>43</v>
      </c>
      <c r="AA17" s="143">
        <f>+IF(Z17=[3]Listas!$E$46,[3]Listas!$F$46,IF(Z17=[3]Listas!$E$47,[3]Listas!$F$47,""))</f>
        <v>0.15</v>
      </c>
      <c r="AB17" s="144">
        <f t="shared" si="2"/>
        <v>0.25</v>
      </c>
      <c r="AC17" s="301" t="s">
        <v>57</v>
      </c>
      <c r="AD17" s="301" t="s">
        <v>58</v>
      </c>
      <c r="AE17" s="304" t="s">
        <v>59</v>
      </c>
      <c r="AF17" s="305" t="str">
        <f t="shared" si="0"/>
        <v>Muy baja</v>
      </c>
      <c r="AG17" s="145">
        <f>IF(Y17=[3]Listas!$G$53,AG16-(AG16*AB17),AG16)</f>
        <v>6.2207999999999986E-2</v>
      </c>
      <c r="AH17" s="562"/>
      <c r="AI17" s="305" t="str">
        <f t="shared" si="1"/>
        <v>Mayor</v>
      </c>
      <c r="AJ17" s="145">
        <f>IF(Y17=[3]Listas!$G$55,AJ16-(AJ16*AB17),AJ16)</f>
        <v>0.75</v>
      </c>
      <c r="AK17" s="562"/>
      <c r="AL17" s="565"/>
      <c r="AM17" s="565"/>
      <c r="AN17" s="565"/>
      <c r="AO17" s="568"/>
      <c r="AP17" s="631"/>
      <c r="AQ17" s="306"/>
      <c r="AR17" s="117"/>
      <c r="AZ17" s="644" t="s">
        <v>60</v>
      </c>
      <c r="BA17" s="168">
        <v>1</v>
      </c>
      <c r="BB17" s="164" t="s">
        <v>210</v>
      </c>
      <c r="BC17" s="169" t="s">
        <v>81</v>
      </c>
      <c r="BD17" s="169" t="s">
        <v>81</v>
      </c>
      <c r="BE17" s="169" t="s">
        <v>81</v>
      </c>
      <c r="BF17" s="169" t="s">
        <v>81</v>
      </c>
      <c r="BG17" s="170" t="s">
        <v>77</v>
      </c>
      <c r="BI17" s="171" t="s">
        <v>83</v>
      </c>
      <c r="BJ17" s="158">
        <v>0.6</v>
      </c>
      <c r="BK17" s="166" t="s">
        <v>211</v>
      </c>
      <c r="BL17" s="167" t="s">
        <v>212</v>
      </c>
      <c r="BN17" s="171" t="s">
        <v>213</v>
      </c>
      <c r="BO17" s="166" t="s">
        <v>214</v>
      </c>
      <c r="BP17" s="161">
        <v>25</v>
      </c>
      <c r="BQ17" s="161">
        <v>500</v>
      </c>
      <c r="BR17" s="162">
        <v>0.6</v>
      </c>
    </row>
    <row r="18" spans="2:70" ht="147" customHeight="1" thickTop="1" thickBot="1" x14ac:dyDescent="0.4">
      <c r="B18" s="870"/>
      <c r="C18" s="559"/>
      <c r="D18" s="746"/>
      <c r="E18" s="577"/>
      <c r="F18" s="625"/>
      <c r="G18" s="628"/>
      <c r="H18" s="628"/>
      <c r="I18" s="589"/>
      <c r="J18" s="589"/>
      <c r="K18" s="592"/>
      <c r="L18" s="589"/>
      <c r="M18" s="595"/>
      <c r="N18" s="598"/>
      <c r="O18" s="601"/>
      <c r="P18" s="595"/>
      <c r="Q18" s="604"/>
      <c r="R18" s="601"/>
      <c r="S18" s="283"/>
      <c r="T18" s="604"/>
      <c r="U18" s="142" t="s">
        <v>215</v>
      </c>
      <c r="V18" s="399" t="s">
        <v>216</v>
      </c>
      <c r="W18" s="301" t="s">
        <v>42</v>
      </c>
      <c r="X18" s="302">
        <f>IF(W18=[3]Listas!$B$46,[3]Listas!$C$46,IF(W18=[3]Listas!$B$47,[3]Listas!$C$47,IF(W18=[3]Listas!$B$48,[3]Listas!$C$48,"")))</f>
        <v>0.15</v>
      </c>
      <c r="Y18" s="303" t="str">
        <f>IF(OR(W18=[3]Listas!$F$53,W18=[3]Listas!$F$54),[3]Listas!$G$53,IF(W18=[3]Listas!$F$55,[3]Listas!$G$55,""))</f>
        <v>Probabilidad</v>
      </c>
      <c r="Z18" s="301" t="s">
        <v>43</v>
      </c>
      <c r="AA18" s="143">
        <f>+IF(Z18=[3]Listas!$E$46,[3]Listas!$F$46,IF(Z18=[3]Listas!$E$47,[3]Listas!$F$47,""))</f>
        <v>0.15</v>
      </c>
      <c r="AB18" s="144">
        <f t="shared" si="2"/>
        <v>0.3</v>
      </c>
      <c r="AC18" s="301" t="s">
        <v>57</v>
      </c>
      <c r="AD18" s="301" t="s">
        <v>58</v>
      </c>
      <c r="AE18" s="304" t="s">
        <v>59</v>
      </c>
      <c r="AF18" s="305" t="str">
        <f t="shared" si="0"/>
        <v>Muy baja</v>
      </c>
      <c r="AG18" s="145">
        <f>IF(Y18=[3]Listas!$G$53,AG17-(AG17*AB18),AG17)</f>
        <v>4.354559999999999E-2</v>
      </c>
      <c r="AH18" s="562"/>
      <c r="AI18" s="305" t="str">
        <f t="shared" si="1"/>
        <v>Mayor</v>
      </c>
      <c r="AJ18" s="145">
        <f>IF(Y18=[3]Listas!$G$55,AJ17-(AJ17*AB18),AJ17)</f>
        <v>0.75</v>
      </c>
      <c r="AK18" s="562"/>
      <c r="AL18" s="565"/>
      <c r="AM18" s="565"/>
      <c r="AN18" s="565"/>
      <c r="AO18" s="568"/>
      <c r="AP18" s="631"/>
      <c r="AQ18" s="306"/>
      <c r="AR18" s="117"/>
      <c r="AZ18" s="644"/>
      <c r="BA18" s="168">
        <v>0.8</v>
      </c>
      <c r="BB18" s="164" t="s">
        <v>217</v>
      </c>
      <c r="BC18" s="172" t="s">
        <v>83</v>
      </c>
      <c r="BD18" s="172" t="s">
        <v>83</v>
      </c>
      <c r="BE18" s="169" t="s">
        <v>81</v>
      </c>
      <c r="BF18" s="169" t="s">
        <v>81</v>
      </c>
      <c r="BG18" s="170" t="s">
        <v>77</v>
      </c>
      <c r="BI18" s="173" t="s">
        <v>202</v>
      </c>
      <c r="BJ18" s="158">
        <v>0.8</v>
      </c>
      <c r="BK18" s="166" t="s">
        <v>218</v>
      </c>
      <c r="BL18" s="167" t="s">
        <v>219</v>
      </c>
      <c r="BN18" s="173" t="s">
        <v>217</v>
      </c>
      <c r="BO18" s="166" t="s">
        <v>169</v>
      </c>
      <c r="BP18" s="161">
        <v>5001</v>
      </c>
      <c r="BQ18" s="161">
        <v>5000</v>
      </c>
      <c r="BR18" s="162">
        <v>0.8</v>
      </c>
    </row>
    <row r="19" spans="2:70" ht="15" hidden="1" customHeight="1" thickBot="1" x14ac:dyDescent="0.4">
      <c r="B19" s="870"/>
      <c r="C19" s="559"/>
      <c r="D19" s="279"/>
      <c r="E19" s="577"/>
      <c r="F19" s="625"/>
      <c r="G19" s="628"/>
      <c r="H19" s="628"/>
      <c r="I19" s="589"/>
      <c r="J19" s="589"/>
      <c r="K19" s="592"/>
      <c r="L19" s="589"/>
      <c r="M19" s="595"/>
      <c r="N19" s="598"/>
      <c r="O19" s="601"/>
      <c r="P19" s="595"/>
      <c r="Q19" s="604"/>
      <c r="R19" s="601"/>
      <c r="S19" s="283"/>
      <c r="T19" s="604"/>
      <c r="U19" s="142" t="s">
        <v>220</v>
      </c>
      <c r="V19" s="400"/>
      <c r="W19" s="301"/>
      <c r="X19" s="302" t="str">
        <f>IF(W19=[3]Listas!$B$46,[3]Listas!$C$46,IF(W19=[3]Listas!$B$47,[3]Listas!$C$47,IF(W19=[3]Listas!$B$48,[3]Listas!$C$48,"")))</f>
        <v/>
      </c>
      <c r="Y19" s="303" t="str">
        <f>IF(OR(W19=[3]Listas!$F$53,W19=[3]Listas!$F$54),[3]Listas!$G$53,IF(W19=[3]Listas!$F$55,[3]Listas!$G$55,""))</f>
        <v/>
      </c>
      <c r="Z19" s="301"/>
      <c r="AA19" s="143" t="str">
        <f>+IF(Z19=[3]Listas!$E$46,[3]Listas!$F$46,IF(Z19=[3]Listas!$E$47,[3]Listas!$F$47,""))</f>
        <v/>
      </c>
      <c r="AB19" s="144" t="str">
        <f t="shared" si="2"/>
        <v/>
      </c>
      <c r="AC19" s="301"/>
      <c r="AD19" s="301"/>
      <c r="AE19" s="304"/>
      <c r="AF19" s="305" t="str">
        <f t="shared" si="0"/>
        <v>Muy baja</v>
      </c>
      <c r="AG19" s="145">
        <f>IF(Y19=[3]Listas!$G$53,AG18-(AG18*AB19),AG18)</f>
        <v>4.354559999999999E-2</v>
      </c>
      <c r="AH19" s="562"/>
      <c r="AI19" s="305" t="str">
        <f t="shared" si="1"/>
        <v>Mayor</v>
      </c>
      <c r="AJ19" s="145">
        <f>IF(Y19=[3]Listas!$G$55,AJ18-(AJ18*AB19),AJ18)</f>
        <v>0.75</v>
      </c>
      <c r="AK19" s="562"/>
      <c r="AL19" s="565"/>
      <c r="AM19" s="565"/>
      <c r="AN19" s="565"/>
      <c r="AO19" s="568"/>
      <c r="AP19" s="631"/>
      <c r="AQ19" s="306"/>
      <c r="AR19" s="117"/>
      <c r="AZ19" s="644"/>
      <c r="BA19" s="168">
        <v>0.6</v>
      </c>
      <c r="BB19" s="164" t="s">
        <v>213</v>
      </c>
      <c r="BC19" s="172" t="s">
        <v>83</v>
      </c>
      <c r="BD19" s="172" t="s">
        <v>83</v>
      </c>
      <c r="BE19" s="172" t="s">
        <v>83</v>
      </c>
      <c r="BF19" s="169" t="s">
        <v>81</v>
      </c>
      <c r="BG19" s="170" t="s">
        <v>77</v>
      </c>
      <c r="BI19" s="175" t="s">
        <v>203</v>
      </c>
      <c r="BJ19" s="158">
        <v>1</v>
      </c>
      <c r="BK19" s="166" t="s">
        <v>221</v>
      </c>
      <c r="BL19" s="167" t="s">
        <v>170</v>
      </c>
      <c r="BN19" s="175" t="s">
        <v>210</v>
      </c>
      <c r="BO19" s="166" t="s">
        <v>222</v>
      </c>
      <c r="BP19" s="161">
        <v>5001</v>
      </c>
      <c r="BQ19" s="161"/>
      <c r="BR19" s="162">
        <v>1</v>
      </c>
    </row>
    <row r="20" spans="2:70" ht="15" hidden="1" customHeight="1" thickTop="1" x14ac:dyDescent="0.35">
      <c r="B20" s="870"/>
      <c r="C20" s="559"/>
      <c r="D20" s="279"/>
      <c r="E20" s="577"/>
      <c r="F20" s="625"/>
      <c r="G20" s="628"/>
      <c r="H20" s="628"/>
      <c r="I20" s="589"/>
      <c r="J20" s="589"/>
      <c r="K20" s="592"/>
      <c r="L20" s="589"/>
      <c r="M20" s="595"/>
      <c r="N20" s="598"/>
      <c r="O20" s="601"/>
      <c r="P20" s="595"/>
      <c r="Q20" s="604"/>
      <c r="R20" s="601"/>
      <c r="S20" s="283"/>
      <c r="T20" s="604"/>
      <c r="U20" s="142" t="s">
        <v>223</v>
      </c>
      <c r="V20" s="400"/>
      <c r="W20" s="301"/>
      <c r="X20" s="302" t="str">
        <f>IF(W20=[3]Listas!$B$46,[3]Listas!$C$46,IF(W20=[3]Listas!$B$47,[3]Listas!$C$47,IF(W20=[3]Listas!$B$48,[3]Listas!$C$48,"")))</f>
        <v/>
      </c>
      <c r="Y20" s="303" t="str">
        <f>IF(OR(W20=[3]Listas!$F$53,W20=[3]Listas!$F$54),[3]Listas!$G$53,IF(W20=[3]Listas!$F$55,[3]Listas!$G$55,""))</f>
        <v/>
      </c>
      <c r="Z20" s="301"/>
      <c r="AA20" s="143" t="str">
        <f>+IF(Z20=[3]Listas!$E$46,[3]Listas!$F$46,IF(Z20=[3]Listas!$E$47,[3]Listas!$F$47,""))</f>
        <v/>
      </c>
      <c r="AB20" s="144" t="str">
        <f t="shared" si="2"/>
        <v/>
      </c>
      <c r="AC20" s="301"/>
      <c r="AD20" s="301"/>
      <c r="AE20" s="304"/>
      <c r="AF20" s="305" t="str">
        <f t="shared" si="0"/>
        <v>Muy baja</v>
      </c>
      <c r="AG20" s="145">
        <f>IF(Y20=[3]Listas!$G$53,AG19-(AG19*AB20),AG19)</f>
        <v>4.354559999999999E-2</v>
      </c>
      <c r="AH20" s="562"/>
      <c r="AI20" s="305" t="str">
        <f t="shared" si="1"/>
        <v>Mayor</v>
      </c>
      <c r="AJ20" s="145">
        <f>IF(Y20=[3]Listas!$G$55,AJ19-(AJ19*AB20),AJ19)</f>
        <v>0.75</v>
      </c>
      <c r="AK20" s="562"/>
      <c r="AL20" s="565"/>
      <c r="AM20" s="565"/>
      <c r="AN20" s="565"/>
      <c r="AO20" s="568"/>
      <c r="AP20" s="631"/>
      <c r="AQ20" s="306"/>
      <c r="AR20" s="117"/>
      <c r="AZ20" s="644"/>
      <c r="BA20" s="168">
        <v>0.4</v>
      </c>
      <c r="BB20" s="164" t="s">
        <v>206</v>
      </c>
      <c r="BC20" s="176" t="s">
        <v>86</v>
      </c>
      <c r="BD20" s="172" t="s">
        <v>83</v>
      </c>
      <c r="BE20" s="172" t="s">
        <v>83</v>
      </c>
      <c r="BF20" s="169" t="s">
        <v>81</v>
      </c>
      <c r="BG20" s="170" t="s">
        <v>77</v>
      </c>
    </row>
    <row r="21" spans="2:70" ht="15.75" hidden="1" customHeight="1" thickTop="1" x14ac:dyDescent="0.35">
      <c r="B21" s="870"/>
      <c r="C21" s="559"/>
      <c r="D21" s="279"/>
      <c r="E21" s="578"/>
      <c r="F21" s="626"/>
      <c r="G21" s="629"/>
      <c r="H21" s="629"/>
      <c r="I21" s="590"/>
      <c r="J21" s="590"/>
      <c r="K21" s="593"/>
      <c r="L21" s="589"/>
      <c r="M21" s="595"/>
      <c r="N21" s="599"/>
      <c r="O21" s="602"/>
      <c r="P21" s="596"/>
      <c r="Q21" s="605"/>
      <c r="R21" s="602"/>
      <c r="S21" s="284"/>
      <c r="T21" s="605"/>
      <c r="U21" s="142" t="s">
        <v>224</v>
      </c>
      <c r="V21" s="401"/>
      <c r="W21" s="307"/>
      <c r="X21" s="308" t="str">
        <f>IF(W21=[3]Listas!$B$46,[3]Listas!$C$46,IF(W21=[3]Listas!$B$47,[3]Listas!$C$47,IF(W21=[3]Listas!$B$48,[3]Listas!$C$48,"")))</f>
        <v/>
      </c>
      <c r="Y21" s="309" t="str">
        <f>IF(OR(W21=[3]Listas!$F$53,W21=[3]Listas!$F$54),[3]Listas!$G$53,IF(W21=[3]Listas!$F$55,[3]Listas!$G$55,""))</f>
        <v/>
      </c>
      <c r="Z21" s="307"/>
      <c r="AA21" s="177" t="str">
        <f>+IF(Z21=[3]Listas!$E$46,[3]Listas!$F$46,IF(Z21=[3]Listas!$E$47,[3]Listas!$F$47,""))</f>
        <v/>
      </c>
      <c r="AB21" s="178" t="str">
        <f t="shared" si="2"/>
        <v/>
      </c>
      <c r="AC21" s="307"/>
      <c r="AD21" s="307"/>
      <c r="AE21" s="310"/>
      <c r="AF21" s="311" t="str">
        <f t="shared" si="0"/>
        <v>Muy baja</v>
      </c>
      <c r="AG21" s="179">
        <f>IF(Y21=[3]Listas!$G$53,AG20-(AG20*AB21),AG20)</f>
        <v>4.354559999999999E-2</v>
      </c>
      <c r="AH21" s="563"/>
      <c r="AI21" s="311" t="str">
        <f t="shared" si="1"/>
        <v>Mayor</v>
      </c>
      <c r="AJ21" s="179">
        <f>IF(Y21=[3]Listas!$G$55,AJ20-(AJ20*AB21),AJ20)</f>
        <v>0.75</v>
      </c>
      <c r="AK21" s="563"/>
      <c r="AL21" s="566"/>
      <c r="AM21" s="566"/>
      <c r="AN21" s="566"/>
      <c r="AO21" s="569"/>
      <c r="AP21" s="632"/>
      <c r="AQ21" s="312"/>
      <c r="AR21" s="180"/>
      <c r="AZ21" s="644"/>
      <c r="BA21" s="168">
        <v>0.2</v>
      </c>
      <c r="BB21" s="164" t="s">
        <v>196</v>
      </c>
      <c r="BC21" s="176" t="s">
        <v>86</v>
      </c>
      <c r="BD21" s="176" t="s">
        <v>86</v>
      </c>
      <c r="BE21" s="172" t="s">
        <v>83</v>
      </c>
      <c r="BF21" s="169" t="s">
        <v>81</v>
      </c>
      <c r="BG21" s="170" t="s">
        <v>77</v>
      </c>
    </row>
    <row r="22" spans="2:70" ht="207.75" customHeight="1" thickTop="1" thickBot="1" x14ac:dyDescent="0.4">
      <c r="B22" s="870"/>
      <c r="C22" s="559"/>
      <c r="D22" s="744" t="s">
        <v>225</v>
      </c>
      <c r="E22" s="576" t="s">
        <v>5</v>
      </c>
      <c r="F22" s="624" t="s">
        <v>226</v>
      </c>
      <c r="G22" s="627" t="s">
        <v>227</v>
      </c>
      <c r="H22" s="627" t="s">
        <v>228</v>
      </c>
      <c r="I22" s="588" t="s">
        <v>20</v>
      </c>
      <c r="J22" s="588" t="s">
        <v>22</v>
      </c>
      <c r="K22" s="591" t="s">
        <v>229</v>
      </c>
      <c r="L22" s="588" t="s">
        <v>186</v>
      </c>
      <c r="M22" s="594" t="s">
        <v>214</v>
      </c>
      <c r="N22" s="597" t="str">
        <f>+IF(M22="","",IF(M22=$BO$15,$BN$15,IF(M22=$BO$16,$BN$16,IF(M22=$BO$17,$BN$17,IF(M22=$BO$18,$BN$18,IF(M22=$BO$19,$BN$19))))))</f>
        <v>Media</v>
      </c>
      <c r="O22" s="600">
        <f>+IF(M22="","",IF(M22=$BO$15,$BR$15,IF(M22=$BO$16,$BR$16,IF(M22=$BO$17,$BR$17,IF(M22=$BO$18,$BR$18,IF(M22=$BO$19,$BR$19))))))</f>
        <v>0.6</v>
      </c>
      <c r="P22" s="594" t="s">
        <v>212</v>
      </c>
      <c r="Q22" s="603" t="str">
        <f>+IF(P22="","",IF(P22='[3]Mapa de Calor inherente'!$AF$6,'[3]Mapa de Calor inherente'!$AD$6,IF(P22='[3]Mapa de Calor inherente'!$AF$7,'[3]Mapa de Calor inherente'!$AD$7,IF(P22='[3]Mapa de Calor inherente'!$AF$8,'[3]Mapa de Calor inherente'!$AD$8,IF(P22='[3]Mapa de Calor inherente'!$AF$9,'[3]Mapa de Calor inherente'!$AD$9,IF(P22='[3]Mapa de Calor inherente'!$AF$10,'[3]Mapa de Calor inherente'!$AD$10,IF(P22='[3]Mapa de Calor inherente'!$AG$6,'[3]Mapa de Calor inherente'!$AD$6,IF(P22='[3]Mapa de Calor inherente'!$AG$7,'[3]Mapa de Calor inherente'!$AD$7,IF(P22='[3]Mapa de Calor inherente'!$AG$8,'[3]Mapa de Calor inherente'!$AD$8,IF(P22='[3]Mapa de Calor inherente'!$AG$9,'[3]Mapa de Calor inherente'!$AD$9,IF(P22='[3]Mapa de Calor inherente'!$AG$10,'[3]Mapa de Calor inherente'!$AD$10,IF(P22='[3]Mapa de Calor inherente'!$AD$8,'[3]Mapa de Calor inherente'!$AD$8,IF(P22='[3]Mapa de Calor inherente'!$AD$9,'[3]Mapa de Calor inherente'!$AD$9,IF(P22='[3]Mapa de Calor inherente'!$AD$10,'[3]Mapa de Calor inherente'!$AD$10))))))))))))))</f>
        <v>Moderado</v>
      </c>
      <c r="R22" s="600">
        <f>+IF(P22="","",IF(P22='[3]Mapa de Calor inherente'!$AF$6,'[3]Mapa de Calor inherente'!$AE$6,IF(P22='[3]Mapa de Calor inherente'!$AF$7,'[3]Mapa de Calor inherente'!$AE$7,IF(P22='[3]Mapa de Calor inherente'!$AF$8,'[3]Mapa de Calor inherente'!$AE$8,IF(P22='[3]Mapa de Calor inherente'!$AF$9,'[3]Mapa de Calor inherente'!$AE$9,IF(P22='[3]Mapa de Calor inherente'!$AF$10,'[3]Mapa de Calor inherente'!$AE$10,IF(P22='[3]Mapa de Calor inherente'!$AG$6,'[3]Mapa de Calor inherente'!$AE$6,IF(P22='[3]Mapa de Calor inherente'!$AG$7,'[3]Mapa de Calor inherente'!$AE$7,IF(P22='[3]Mapa de Calor inherente'!$AG$8,'[3]Mapa de Calor inherente'!$AE$8,IF(P22='[3]Mapa de Calor inherente'!$AG$9,'[3]Mapa de Calor inherente'!$AE$9,IF(P22='[3]Mapa de Calor inherente'!$AG$10,'[3]Mapa de Calor inherente'!$AE$10,IF(P22='[3]Mapa de Calor inherente'!$AD$8,'[3]Mapa de Calor inherente'!$AE$8,IF(P22='[3]Mapa de Calor inherente'!$AD$9,'[3]Mapa de Calor inherente'!$AE$9,IF(P22='[3]Mapa de Calor inherente'!$AD$10,'[3]Mapa de Calor inherente'!$AE$10))))))))))))))</f>
        <v>0.6</v>
      </c>
      <c r="S22" s="285"/>
      <c r="T22" s="606" t="str">
        <f>+IF(N22=$BB$17,IF(Q22=$BC$16,$BC$17,IF(Q22=$BD$16,$BD$17,IF(Q22=$BE$16,$BE$17,IF(Q22=$BF$16,$BF$17,IF(Q22=$BG$16,$BG$17))))),IF(N22=$BB$18,IF(Q22=$BC$16,$BC$18,IF(Q22=$BD$16,$BD$18,IF(Q22=$BE$16,$BE$18,IF(Q22=$BF$16,$BF$18,IF(Q22=$BG$16,$BG$18))))),IF(N22=$BB$19,IF(Q22=$BC$16,$BC$19,IF(Q22=$BD$16,$BD$19,IF(Q22=$BE$16,$BE$19,IF(Q22=$BF$16,$BF$19,IF(Q22=$BG$16,$BG$19))))),IF(N22=$BB$20,IF(Q22=$BC$16,$BC$20,IF(Q22=$BD$16,$BD$20,IF(Q22=$BE$16,$BE$20,IF(Q22=$BF$16,$BF$20,IF(Q22=$BG$16,$BG$20))))),IF(N22=$BB$21,IF(Q22=$BC$16,$BC$21,IF(Q22=$BD$16,$BD$21,IF(Q22=$BE$16,$BE$21,IF(Q22=$BF$16,$BF$21,IF(Q22=$BG$16,$BG$21))))),"")))))</f>
        <v>Moderado</v>
      </c>
      <c r="U22" s="139" t="s">
        <v>171</v>
      </c>
      <c r="V22" s="414" t="s">
        <v>230</v>
      </c>
      <c r="W22" s="313" t="s">
        <v>40</v>
      </c>
      <c r="X22" s="314">
        <f>IF(W22=[3]Listas!$B$46,[3]Listas!$C$46,IF(W22=[3]Listas!$B$47,[3]Listas!$C$47,IF(W22=[3]Listas!$B$48,[3]Listas!$C$48,"")))</f>
        <v>0.25</v>
      </c>
      <c r="Y22" s="315" t="str">
        <f>IF(OR(W22=[3]Listas!$F$53,W22=[3]Listas!$F$54),[3]Listas!$G$53,IF(W22=[3]Listas!$F$55,[3]Listas!$G$55,""))</f>
        <v>Probabilidad</v>
      </c>
      <c r="Z22" s="313" t="s">
        <v>43</v>
      </c>
      <c r="AA22" s="314">
        <f>+IF(Z22=[3]Listas!$E$46,[3]Listas!$F$46,IF(Z22=[3]Listas!$E$47,[3]Listas!$F$47,""))</f>
        <v>0.15</v>
      </c>
      <c r="AB22" s="181">
        <f>IFERROR(X22+AA22,"")</f>
        <v>0.4</v>
      </c>
      <c r="AC22" s="313" t="s">
        <v>64</v>
      </c>
      <c r="AD22" s="316" t="s">
        <v>58</v>
      </c>
      <c r="AE22" s="317" t="s">
        <v>59</v>
      </c>
      <c r="AF22" s="299" t="str">
        <f t="shared" si="0"/>
        <v>Baja</v>
      </c>
      <c r="AG22" s="141">
        <f>IF(Y22=[3]Listas!$G$53,O22-(O22*AB22),O22)</f>
        <v>0.36</v>
      </c>
      <c r="AH22" s="561">
        <f>+IF(AG31="","",AG31)</f>
        <v>0.36</v>
      </c>
      <c r="AI22" s="299" t="str">
        <f>IF(AJ22="","",IF(AJ22&lt;=20%,"Leve",IF(AJ22&lt;=40%,"Menor",IF(AJ22&lt;=60%,"Moderado",IF(AJ22&lt;=80%,"Mayor","Catastrófico")))))</f>
        <v>Moderado</v>
      </c>
      <c r="AJ22" s="141">
        <f>IF(Y22=[3]Listas!$G$55,R22-(R22*AB22),R22)</f>
        <v>0.6</v>
      </c>
      <c r="AK22" s="561">
        <f>+IF(AJ31="","",AJ31)</f>
        <v>0.6</v>
      </c>
      <c r="AL22" s="564" t="str">
        <f>+IF(AH22=0,"",IF(AH22&lt;=$BA$21,$BB$21,IF(AH22&lt;=$BA$20,$BB$20,IF(AH22&lt;=$BA$19,$BB$19,IF(AH22&lt;=$BA$18,$BB$18,IF(AH22&lt;=$BA$17,$BB$17,""))))))</f>
        <v>Baja</v>
      </c>
      <c r="AM22" s="564" t="str">
        <f>+IF(AK22=0,"",IF(AK22&lt;=$BC$15,$BC$16,IF(AK22&lt;=$BD$15,$BD$16,IF(AK22&lt;=$BE$15,$BE$16,IF(AK22&lt;=$BF$15,$BF$16,IF(AK22&lt;=$BG$15,$BG$16,""))))))</f>
        <v>Moderado</v>
      </c>
      <c r="AN22" s="564" t="str">
        <f>IF(AL22=$BB$17,IF(AM22=$BC$16,$BC$17,IF(AM22=$BD$16,$BD$17,IF(AM22=$BE$16,$BE$17,IF(AM22=$BF$16,$BF$17,IF(AM22=$BG$16,$BG$17))))),IF(AL22=$BB$18,IF(AM22=$BC$16,$BC$18,IF(AM22=$BD$16,$BD$18,IF(AM22=$BE$16,$BE$18,IF(AM22=$BF$16,$BF$18,IF(AM22=$BG$16,$BG$18))))),IF(AL22=$BB$19,IF(AM22=$BC$16,$BC$19,IF(AM22=$BD$16,$BD$19,IF(AM22=$BE$16,$BE$19,IF(AM22=$BF$16,$BF$19,IF(AM22=$BG$16,$BG$19))))),IF(AL22=$BB$20,IF(AM22=$BC$16,$BC$20,IF(AM22=$BD$16,$BD$20,IF(AM22=$BE$16,$BE$20,IF(AM22=$BF$16,$BF$20,IF(AM22=$BG$16,$BG$20))))),IF(AL22=$BB$21,IF(AM22=$BC$16,$BC$21,IF(AM22=$BD$16,$BD$21,IF(AM22=$BE$16,$BE$21,IF(AM22=$BF$16,$BF$21,IF(AM22=$BG$16,$BG$21))))),"")))))</f>
        <v>Moderado</v>
      </c>
      <c r="AO22" s="567" t="str">
        <f>IF(AP22="","",IF(AP22=[3]Listas!$F$61,[3]Listas!$G$61,IF(AP22=[3]Listas!$F$63,[3]Listas!$G$63,IF(AP22=[3]Listas!$F$64,[3]Listas!$G$64))))</f>
        <v>Requiere Plan de Acción</v>
      </c>
      <c r="AP22" s="570" t="str">
        <f>IF(AN22="","",IF(OR(AN22=[3]Listas!$E$61,AN22=[3]Listas!$E$62),[3]Listas!$F$61,IF(AN22=[3]Listas!$E$63,[3]Listas!$F$63,IF(AN22=[3]Listas!$E$64,[3]Listas!$F$64))))</f>
        <v>Aceptar o reducir el riesgo</v>
      </c>
      <c r="AQ22" s="318" t="s">
        <v>80</v>
      </c>
      <c r="AR22" s="116" t="s">
        <v>231</v>
      </c>
    </row>
    <row r="23" spans="2:70" ht="138" customHeight="1" thickTop="1" thickBot="1" x14ac:dyDescent="0.4">
      <c r="B23" s="870"/>
      <c r="C23" s="559"/>
      <c r="D23" s="745"/>
      <c r="E23" s="577"/>
      <c r="F23" s="625"/>
      <c r="G23" s="628"/>
      <c r="H23" s="628"/>
      <c r="I23" s="589"/>
      <c r="J23" s="589"/>
      <c r="K23" s="592"/>
      <c r="L23" s="589"/>
      <c r="M23" s="595"/>
      <c r="N23" s="598"/>
      <c r="O23" s="601"/>
      <c r="P23" s="595"/>
      <c r="Q23" s="604"/>
      <c r="R23" s="601"/>
      <c r="S23" s="286"/>
      <c r="T23" s="607"/>
      <c r="U23" s="142" t="s">
        <v>174</v>
      </c>
      <c r="V23" s="415"/>
      <c r="W23" s="319"/>
      <c r="X23" s="320" t="str">
        <f>IF(W23=[3]Listas!$B$46,[3]Listas!$C$46,IF(W23=[3]Listas!$B$47,[3]Listas!$C$47,IF(W23=[3]Listas!$B$48,[3]Listas!$C$48,"")))</f>
        <v/>
      </c>
      <c r="Y23" s="321" t="str">
        <f>IF(OR(W23=[3]Listas!$F$53,W23=[3]Listas!$F$54),[3]Listas!$G$53,IF(W23=[3]Listas!$F$55,[3]Listas!$G$55,""))</f>
        <v/>
      </c>
      <c r="Z23" s="319"/>
      <c r="AA23" s="182" t="str">
        <f>+IF(Z23=[3]Listas!$E$46,[3]Listas!$F$46,IF(Z23=[3]Listas!$E$47,[3]Listas!$F$47,""))</f>
        <v/>
      </c>
      <c r="AB23" s="183" t="str">
        <f>IFERROR(X23+AA23,"")</f>
        <v/>
      </c>
      <c r="AC23" s="319"/>
      <c r="AD23" s="322"/>
      <c r="AE23" s="323"/>
      <c r="AF23" s="305" t="str">
        <f t="shared" si="0"/>
        <v>Baja</v>
      </c>
      <c r="AG23" s="145">
        <f>IF(Y23=[3]Listas!$G$53,AG22-(AG22*AB23),AG22)</f>
        <v>0.36</v>
      </c>
      <c r="AH23" s="562"/>
      <c r="AI23" s="305" t="str">
        <f t="shared" si="1"/>
        <v>Moderado</v>
      </c>
      <c r="AJ23" s="145">
        <f>IF(Y23=[3]Listas!$G$55,AJ22-(AJ22*AB23),AJ22)</f>
        <v>0.6</v>
      </c>
      <c r="AK23" s="562"/>
      <c r="AL23" s="565"/>
      <c r="AM23" s="565"/>
      <c r="AN23" s="565"/>
      <c r="AO23" s="568"/>
      <c r="AP23" s="571"/>
      <c r="AQ23" s="324" t="s">
        <v>90</v>
      </c>
      <c r="AR23" s="117" t="s">
        <v>232</v>
      </c>
    </row>
    <row r="24" spans="2:70" ht="119.5" customHeight="1" thickTop="1" thickBot="1" x14ac:dyDescent="0.4">
      <c r="B24" s="870"/>
      <c r="C24" s="559"/>
      <c r="D24" s="746"/>
      <c r="E24" s="577"/>
      <c r="F24" s="625"/>
      <c r="G24" s="628"/>
      <c r="H24" s="628"/>
      <c r="I24" s="589"/>
      <c r="J24" s="589"/>
      <c r="K24" s="592"/>
      <c r="L24" s="589"/>
      <c r="M24" s="595"/>
      <c r="N24" s="598"/>
      <c r="O24" s="601"/>
      <c r="P24" s="595"/>
      <c r="Q24" s="604"/>
      <c r="R24" s="601"/>
      <c r="S24" s="287"/>
      <c r="T24" s="607"/>
      <c r="U24" s="142" t="s">
        <v>180</v>
      </c>
      <c r="V24" s="415"/>
      <c r="W24" s="319"/>
      <c r="X24" s="320" t="str">
        <f>IF(W24=[3]Listas!$B$46,[3]Listas!$C$46,IF(W24=[3]Listas!$B$47,[3]Listas!$C$47,IF(W24=[3]Listas!$B$48,[3]Listas!$C$48,"")))</f>
        <v/>
      </c>
      <c r="Y24" s="321" t="str">
        <f>IF(OR(W24=[3]Listas!$F$53,W24=[3]Listas!$F$54),[3]Listas!$G$53,IF(W24=[3]Listas!$F$55,[3]Listas!$G$55,""))</f>
        <v/>
      </c>
      <c r="Z24" s="319"/>
      <c r="AA24" s="182" t="str">
        <f>+IF(Z24=[3]Listas!$E$46,[3]Listas!$F$46,IF(Z24=[3]Listas!$E$47,[3]Listas!$F$47,""))</f>
        <v/>
      </c>
      <c r="AB24" s="183" t="str">
        <f>IFERROR(X24+AA24,"")</f>
        <v/>
      </c>
      <c r="AC24" s="325"/>
      <c r="AD24" s="326"/>
      <c r="AE24" s="327"/>
      <c r="AF24" s="305" t="str">
        <f t="shared" si="0"/>
        <v>Baja</v>
      </c>
      <c r="AG24" s="145">
        <f>IF(Y24=[3]Listas!$G$53,AG23-(AG23*AB24),AG23)</f>
        <v>0.36</v>
      </c>
      <c r="AH24" s="562"/>
      <c r="AI24" s="305" t="str">
        <f t="shared" si="1"/>
        <v>Moderado</v>
      </c>
      <c r="AJ24" s="145">
        <f>IF(Y24=[3]Listas!$G$55,AJ23-(AJ23*AB24),AJ23)</f>
        <v>0.6</v>
      </c>
      <c r="AK24" s="562"/>
      <c r="AL24" s="565"/>
      <c r="AM24" s="565"/>
      <c r="AN24" s="565"/>
      <c r="AO24" s="568"/>
      <c r="AP24" s="571"/>
      <c r="AQ24" s="324" t="s">
        <v>90</v>
      </c>
      <c r="AR24" s="184" t="s">
        <v>233</v>
      </c>
    </row>
    <row r="25" spans="2:70" ht="15" hidden="1" customHeight="1" thickBot="1" x14ac:dyDescent="0.4">
      <c r="B25" s="870"/>
      <c r="C25" s="280"/>
      <c r="D25" s="174"/>
      <c r="E25" s="577"/>
      <c r="F25" s="625"/>
      <c r="G25" s="628"/>
      <c r="H25" s="628"/>
      <c r="I25" s="589"/>
      <c r="J25" s="589"/>
      <c r="K25" s="592"/>
      <c r="L25" s="589"/>
      <c r="M25" s="595"/>
      <c r="N25" s="598"/>
      <c r="O25" s="601"/>
      <c r="P25" s="595"/>
      <c r="Q25" s="604"/>
      <c r="R25" s="601"/>
      <c r="S25" s="287"/>
      <c r="T25" s="607"/>
      <c r="U25" s="142" t="s">
        <v>190</v>
      </c>
      <c r="V25" s="415"/>
      <c r="W25" s="319"/>
      <c r="X25" s="320" t="str">
        <f>IF(W25=[3]Listas!$B$46,[3]Listas!$C$46,IF(W25=[3]Listas!$B$47,[3]Listas!$C$47,IF(W25=[3]Listas!$B$48,[3]Listas!$C$48,"")))</f>
        <v/>
      </c>
      <c r="Y25" s="321" t="str">
        <f>IF(OR(W25=[3]Listas!$F$53,W25=[3]Listas!$F$54),[3]Listas!$G$53,IF(W25=[3]Listas!$F$55,[3]Listas!$G$55,""))</f>
        <v/>
      </c>
      <c r="Z25" s="319"/>
      <c r="AA25" s="182" t="str">
        <f>+IF(Z25=[3]Listas!$E$46,[3]Listas!$F$46,IF(Z25=[3]Listas!$E$47,[3]Listas!$F$47,""))</f>
        <v/>
      </c>
      <c r="AB25" s="183" t="str">
        <f t="shared" ref="AB25:AB31" si="3">IFERROR(X25+AA25,"")</f>
        <v/>
      </c>
      <c r="AC25" s="328"/>
      <c r="AD25" s="329"/>
      <c r="AE25" s="330"/>
      <c r="AF25" s="305" t="str">
        <f t="shared" si="0"/>
        <v>Baja</v>
      </c>
      <c r="AG25" s="145">
        <f>IF(Y25=[3]Listas!$G$53,AG24-(AG24*AB25),AG24)</f>
        <v>0.36</v>
      </c>
      <c r="AH25" s="562"/>
      <c r="AI25" s="305" t="str">
        <f t="shared" si="1"/>
        <v>Moderado</v>
      </c>
      <c r="AJ25" s="145">
        <f>IF(Y25=[3]Listas!$G$55,AJ24-(AJ24*AB25),AJ24)</f>
        <v>0.6</v>
      </c>
      <c r="AK25" s="562"/>
      <c r="AL25" s="565"/>
      <c r="AM25" s="565"/>
      <c r="AN25" s="565"/>
      <c r="AO25" s="568"/>
      <c r="AP25" s="571"/>
      <c r="AQ25" s="324"/>
      <c r="AR25" s="185"/>
    </row>
    <row r="26" spans="2:70" ht="15" hidden="1" customHeight="1" thickTop="1" thickBot="1" x14ac:dyDescent="0.4">
      <c r="B26" s="870"/>
      <c r="C26" s="280"/>
      <c r="D26" s="174"/>
      <c r="E26" s="577"/>
      <c r="F26" s="625"/>
      <c r="G26" s="628"/>
      <c r="H26" s="628"/>
      <c r="I26" s="589"/>
      <c r="J26" s="589"/>
      <c r="K26" s="592"/>
      <c r="L26" s="589"/>
      <c r="M26" s="595"/>
      <c r="N26" s="598"/>
      <c r="O26" s="601"/>
      <c r="P26" s="595"/>
      <c r="Q26" s="604"/>
      <c r="R26" s="601"/>
      <c r="S26" s="287"/>
      <c r="T26" s="607"/>
      <c r="U26" s="142" t="s">
        <v>198</v>
      </c>
      <c r="V26" s="415"/>
      <c r="W26" s="331"/>
      <c r="X26" s="320" t="str">
        <f>IF(W26=[3]Listas!$B$46,[3]Listas!$C$46,IF(W26=[3]Listas!$B$47,[3]Listas!$C$47,IF(W26=[3]Listas!$B$48,[3]Listas!$C$48,"")))</f>
        <v/>
      </c>
      <c r="Y26" s="321" t="str">
        <f>IF(OR(W26=[3]Listas!$F$53,W26=[3]Listas!$F$54),[3]Listas!$G$53,IF(W26=[3]Listas!$F$55,[3]Listas!$G$55,""))</f>
        <v/>
      </c>
      <c r="Z26" s="331"/>
      <c r="AA26" s="182" t="str">
        <f>+IF(Z26=[3]Listas!$E$46,[3]Listas!$F$46,IF(Z26=[3]Listas!$E$47,[3]Listas!$F$47,""))</f>
        <v/>
      </c>
      <c r="AB26" s="183" t="str">
        <f t="shared" si="3"/>
        <v/>
      </c>
      <c r="AC26" s="319"/>
      <c r="AD26" s="322"/>
      <c r="AE26" s="323"/>
      <c r="AF26" s="305" t="str">
        <f t="shared" si="0"/>
        <v>Baja</v>
      </c>
      <c r="AG26" s="145">
        <f>IF(Y26=[3]Listas!$G$53,AG25-(AG25*AB26),AG25)</f>
        <v>0.36</v>
      </c>
      <c r="AH26" s="562"/>
      <c r="AI26" s="305" t="str">
        <f t="shared" si="1"/>
        <v>Moderado</v>
      </c>
      <c r="AJ26" s="145">
        <f>IF(Y26=[3]Listas!$G$55,AJ25-(AJ25*AB26),AJ25)</f>
        <v>0.6</v>
      </c>
      <c r="AK26" s="562"/>
      <c r="AL26" s="565"/>
      <c r="AM26" s="565"/>
      <c r="AN26" s="565"/>
      <c r="AO26" s="568"/>
      <c r="AP26" s="571"/>
      <c r="AQ26" s="324"/>
      <c r="AR26" s="185"/>
    </row>
    <row r="27" spans="2:70" ht="15.75" hidden="1" customHeight="1" thickTop="1" thickBot="1" x14ac:dyDescent="0.4">
      <c r="B27" s="870"/>
      <c r="C27" s="280"/>
      <c r="D27" s="174"/>
      <c r="E27" s="577"/>
      <c r="F27" s="625"/>
      <c r="G27" s="628"/>
      <c r="H27" s="628"/>
      <c r="I27" s="589"/>
      <c r="J27" s="589"/>
      <c r="K27" s="592"/>
      <c r="L27" s="589"/>
      <c r="M27" s="595"/>
      <c r="N27" s="598"/>
      <c r="O27" s="601"/>
      <c r="P27" s="595"/>
      <c r="Q27" s="604"/>
      <c r="R27" s="601"/>
      <c r="S27" s="288"/>
      <c r="T27" s="607"/>
      <c r="U27" s="142" t="s">
        <v>208</v>
      </c>
      <c r="V27" s="415"/>
      <c r="W27" s="331"/>
      <c r="X27" s="320" t="str">
        <f>IF(W27=[3]Listas!$B$46,[3]Listas!$C$46,IF(W27=[3]Listas!$B$47,[3]Listas!$C$47,IF(W27=[3]Listas!$B$48,[3]Listas!$C$48,"")))</f>
        <v/>
      </c>
      <c r="Y27" s="321" t="str">
        <f>IF(OR(W27=[3]Listas!$F$53,W27=[3]Listas!$F$54),[3]Listas!$G$53,IF(W27=[3]Listas!$F$55,[3]Listas!$G$55,""))</f>
        <v/>
      </c>
      <c r="Z27" s="331"/>
      <c r="AA27" s="182" t="str">
        <f>+IF(Z27=[3]Listas!$E$46,[3]Listas!$F$46,IF(Z27=[3]Listas!$E$47,[3]Listas!$F$47,""))</f>
        <v/>
      </c>
      <c r="AB27" s="183" t="str">
        <f t="shared" si="3"/>
        <v/>
      </c>
      <c r="AC27" s="319"/>
      <c r="AD27" s="322"/>
      <c r="AE27" s="323"/>
      <c r="AF27" s="305" t="str">
        <f t="shared" si="0"/>
        <v>Baja</v>
      </c>
      <c r="AG27" s="145">
        <f>IF(Y27=[3]Listas!$G$53,AG26-(AG26*AB27),AG26)</f>
        <v>0.36</v>
      </c>
      <c r="AH27" s="562"/>
      <c r="AI27" s="305" t="str">
        <f t="shared" si="1"/>
        <v>Moderado</v>
      </c>
      <c r="AJ27" s="145">
        <f>IF(Y27=[3]Listas!$G$55,AJ26-(AJ26*AB27),AJ26)</f>
        <v>0.6</v>
      </c>
      <c r="AK27" s="562"/>
      <c r="AL27" s="565"/>
      <c r="AM27" s="565"/>
      <c r="AN27" s="565"/>
      <c r="AO27" s="568"/>
      <c r="AP27" s="571"/>
      <c r="AQ27" s="332"/>
      <c r="AR27" s="185"/>
    </row>
    <row r="28" spans="2:70" ht="15" hidden="1" customHeight="1" thickTop="1" thickBot="1" x14ac:dyDescent="0.4">
      <c r="B28" s="870"/>
      <c r="C28" s="280"/>
      <c r="D28" s="174"/>
      <c r="E28" s="577"/>
      <c r="F28" s="625"/>
      <c r="G28" s="628"/>
      <c r="H28" s="628"/>
      <c r="I28" s="589"/>
      <c r="J28" s="589"/>
      <c r="K28" s="592"/>
      <c r="L28" s="589"/>
      <c r="M28" s="595"/>
      <c r="N28" s="598"/>
      <c r="O28" s="601"/>
      <c r="P28" s="595"/>
      <c r="Q28" s="604"/>
      <c r="R28" s="601"/>
      <c r="S28" s="289"/>
      <c r="T28" s="607"/>
      <c r="U28" s="142" t="s">
        <v>215</v>
      </c>
      <c r="V28" s="415"/>
      <c r="W28" s="331"/>
      <c r="X28" s="320" t="str">
        <f>IF(W28=[3]Listas!$B$46,[3]Listas!$C$46,IF(W28=[3]Listas!$B$47,[3]Listas!$C$47,IF(W28=[3]Listas!$B$48,[3]Listas!$C$48,"")))</f>
        <v/>
      </c>
      <c r="Y28" s="321" t="str">
        <f>IF(OR(W28=[3]Listas!$F$53,W28=[3]Listas!$F$54),[3]Listas!$G$53,IF(W28=[3]Listas!$F$55,[3]Listas!$G$55,""))</f>
        <v/>
      </c>
      <c r="Z28" s="331"/>
      <c r="AA28" s="182" t="str">
        <f>+IF(Z28=[3]Listas!$E$46,[3]Listas!$F$46,IF(Z28=[3]Listas!$E$47,[3]Listas!$F$47,""))</f>
        <v/>
      </c>
      <c r="AB28" s="183" t="str">
        <f t="shared" si="3"/>
        <v/>
      </c>
      <c r="AC28" s="319"/>
      <c r="AD28" s="322"/>
      <c r="AE28" s="323"/>
      <c r="AF28" s="305" t="str">
        <f t="shared" si="0"/>
        <v>Baja</v>
      </c>
      <c r="AG28" s="145">
        <f>IF(Y28=[3]Listas!$G$53,AG27-(AG27*AB28),AG27)</f>
        <v>0.36</v>
      </c>
      <c r="AH28" s="562"/>
      <c r="AI28" s="305" t="str">
        <f t="shared" si="1"/>
        <v>Moderado</v>
      </c>
      <c r="AJ28" s="145">
        <f>IF(Y28=[3]Listas!$G$55,AJ27-(AJ27*AB28),AJ27)</f>
        <v>0.6</v>
      </c>
      <c r="AK28" s="562"/>
      <c r="AL28" s="565"/>
      <c r="AM28" s="565"/>
      <c r="AN28" s="565"/>
      <c r="AO28" s="568"/>
      <c r="AP28" s="571"/>
      <c r="AQ28" s="333"/>
      <c r="AR28" s="185"/>
    </row>
    <row r="29" spans="2:70" ht="15" hidden="1" customHeight="1" thickTop="1" thickBot="1" x14ac:dyDescent="0.4">
      <c r="B29" s="870"/>
      <c r="C29" s="280"/>
      <c r="D29" s="174"/>
      <c r="E29" s="577"/>
      <c r="F29" s="625"/>
      <c r="G29" s="628"/>
      <c r="H29" s="628"/>
      <c r="I29" s="589"/>
      <c r="J29" s="589"/>
      <c r="K29" s="592"/>
      <c r="L29" s="589"/>
      <c r="M29" s="595"/>
      <c r="N29" s="598"/>
      <c r="O29" s="601"/>
      <c r="P29" s="595"/>
      <c r="Q29" s="604"/>
      <c r="R29" s="601"/>
      <c r="S29" s="289"/>
      <c r="T29" s="607"/>
      <c r="U29" s="142" t="s">
        <v>220</v>
      </c>
      <c r="V29" s="415"/>
      <c r="W29" s="331"/>
      <c r="X29" s="320" t="str">
        <f>IF(W29=[3]Listas!$B$46,[3]Listas!$C$46,IF(W29=[3]Listas!$B$47,[3]Listas!$C$47,IF(W29=[3]Listas!$B$48,[3]Listas!$C$48,"")))</f>
        <v/>
      </c>
      <c r="Y29" s="321" t="str">
        <f>IF(OR(W29=[3]Listas!$F$53,W29=[3]Listas!$F$54),[3]Listas!$G$53,IF(W29=[3]Listas!$F$55,[3]Listas!$G$55,""))</f>
        <v/>
      </c>
      <c r="Z29" s="331"/>
      <c r="AA29" s="182" t="str">
        <f>+IF(Z29=[3]Listas!$E$46,[3]Listas!$F$46,IF(Z29=[3]Listas!$E$47,[3]Listas!$F$47,""))</f>
        <v/>
      </c>
      <c r="AB29" s="183" t="str">
        <f t="shared" si="3"/>
        <v/>
      </c>
      <c r="AC29" s="319"/>
      <c r="AD29" s="322"/>
      <c r="AE29" s="323"/>
      <c r="AF29" s="305" t="str">
        <f t="shared" si="0"/>
        <v>Baja</v>
      </c>
      <c r="AG29" s="145">
        <f>IF(Y29=[3]Listas!$G$53,AG28-(AG28*AB29),AG28)</f>
        <v>0.36</v>
      </c>
      <c r="AH29" s="562"/>
      <c r="AI29" s="305" t="str">
        <f t="shared" si="1"/>
        <v>Moderado</v>
      </c>
      <c r="AJ29" s="145">
        <f>IF(Y29=[3]Listas!$G$55,AJ28-(AJ28*AB29),AJ28)</f>
        <v>0.6</v>
      </c>
      <c r="AK29" s="562"/>
      <c r="AL29" s="565"/>
      <c r="AM29" s="565"/>
      <c r="AN29" s="565"/>
      <c r="AO29" s="568"/>
      <c r="AP29" s="571"/>
      <c r="AQ29" s="334"/>
      <c r="AR29" s="185"/>
    </row>
    <row r="30" spans="2:70" ht="15" hidden="1" customHeight="1" thickTop="1" thickBot="1" x14ac:dyDescent="0.4">
      <c r="B30" s="870"/>
      <c r="C30" s="280"/>
      <c r="D30" s="174"/>
      <c r="E30" s="577"/>
      <c r="F30" s="625"/>
      <c r="G30" s="628"/>
      <c r="H30" s="628"/>
      <c r="I30" s="589"/>
      <c r="J30" s="589"/>
      <c r="K30" s="592"/>
      <c r="L30" s="589"/>
      <c r="M30" s="595"/>
      <c r="N30" s="598"/>
      <c r="O30" s="601"/>
      <c r="P30" s="595"/>
      <c r="Q30" s="604"/>
      <c r="R30" s="601"/>
      <c r="S30" s="289"/>
      <c r="T30" s="607"/>
      <c r="U30" s="142" t="s">
        <v>223</v>
      </c>
      <c r="V30" s="415"/>
      <c r="W30" s="331"/>
      <c r="X30" s="320" t="str">
        <f>IF(W30=[3]Listas!$B$46,[3]Listas!$C$46,IF(W30=[3]Listas!$B$47,[3]Listas!$C$47,IF(W30=[3]Listas!$B$48,[3]Listas!$C$48,"")))</f>
        <v/>
      </c>
      <c r="Y30" s="321" t="str">
        <f>IF(OR(W30=[3]Listas!$F$53,W30=[3]Listas!$F$54),[3]Listas!$G$53,IF(W30=[3]Listas!$F$55,[3]Listas!$G$55,""))</f>
        <v/>
      </c>
      <c r="Z30" s="331"/>
      <c r="AA30" s="182" t="str">
        <f>+IF(Z30=[3]Listas!$E$46,[3]Listas!$F$46,IF(Z30=[3]Listas!$E$47,[3]Listas!$F$47,""))</f>
        <v/>
      </c>
      <c r="AB30" s="183" t="str">
        <f t="shared" si="3"/>
        <v/>
      </c>
      <c r="AC30" s="319"/>
      <c r="AD30" s="322"/>
      <c r="AE30" s="323"/>
      <c r="AF30" s="305" t="str">
        <f t="shared" si="0"/>
        <v>Baja</v>
      </c>
      <c r="AG30" s="145">
        <f>IF(Y30=[3]Listas!$G$53,AG29-(AG29*AB30),AG29)</f>
        <v>0.36</v>
      </c>
      <c r="AH30" s="562"/>
      <c r="AI30" s="305" t="str">
        <f t="shared" si="1"/>
        <v>Moderado</v>
      </c>
      <c r="AJ30" s="145">
        <f>IF(Y30=[3]Listas!$G$55,AJ29-(AJ29*AB30),AJ29)</f>
        <v>0.6</v>
      </c>
      <c r="AK30" s="562"/>
      <c r="AL30" s="565"/>
      <c r="AM30" s="565"/>
      <c r="AN30" s="565"/>
      <c r="AO30" s="568"/>
      <c r="AP30" s="571"/>
      <c r="AQ30" s="324"/>
      <c r="AR30" s="185"/>
    </row>
    <row r="31" spans="2:70" ht="15.75" hidden="1" customHeight="1" thickTop="1" thickBot="1" x14ac:dyDescent="0.4">
      <c r="B31" s="870"/>
      <c r="C31" s="280"/>
      <c r="D31" s="174"/>
      <c r="E31" s="577"/>
      <c r="F31" s="626"/>
      <c r="G31" s="629"/>
      <c r="H31" s="629"/>
      <c r="I31" s="590"/>
      <c r="J31" s="590"/>
      <c r="K31" s="593"/>
      <c r="L31" s="589"/>
      <c r="M31" s="595"/>
      <c r="N31" s="599"/>
      <c r="O31" s="602"/>
      <c r="P31" s="596"/>
      <c r="Q31" s="605"/>
      <c r="R31" s="602"/>
      <c r="S31" s="290"/>
      <c r="T31" s="608"/>
      <c r="U31" s="142" t="s">
        <v>224</v>
      </c>
      <c r="V31" s="416"/>
      <c r="W31" s="335"/>
      <c r="X31" s="336" t="str">
        <f>IF(W31=[3]Listas!$B$46,[3]Listas!$C$46,IF(W31=[3]Listas!$B$47,[3]Listas!$C$47,IF(W31=[3]Listas!$B$48,[3]Listas!$C$48,"")))</f>
        <v/>
      </c>
      <c r="Y31" s="337" t="str">
        <f>IF(OR(W31=[3]Listas!$F$53,W31=[3]Listas!$F$54),[3]Listas!$G$53,IF(W31=[3]Listas!$F$55,[3]Listas!$G$55,""))</f>
        <v/>
      </c>
      <c r="Z31" s="335"/>
      <c r="AA31" s="186" t="str">
        <f>+IF(Z31=[3]Listas!$E$46,[3]Listas!$F$46,IF(Z31=[3]Listas!$E$47,[3]Listas!$F$47,""))</f>
        <v/>
      </c>
      <c r="AB31" s="187" t="str">
        <f t="shared" si="3"/>
        <v/>
      </c>
      <c r="AC31" s="338"/>
      <c r="AD31" s="339"/>
      <c r="AE31" s="340"/>
      <c r="AF31" s="311" t="str">
        <f t="shared" si="0"/>
        <v>Baja</v>
      </c>
      <c r="AG31" s="179">
        <f>IF(Y31=[3]Listas!$G$53,AG30-(AG30*AB31),AG30)</f>
        <v>0.36</v>
      </c>
      <c r="AH31" s="563"/>
      <c r="AI31" s="311" t="str">
        <f t="shared" si="1"/>
        <v>Moderado</v>
      </c>
      <c r="AJ31" s="179">
        <f>IF(Y31=[3]Listas!$G$55,AJ30-(AJ30*AB31),AJ30)</f>
        <v>0.6</v>
      </c>
      <c r="AK31" s="563"/>
      <c r="AL31" s="566"/>
      <c r="AM31" s="566"/>
      <c r="AN31" s="566"/>
      <c r="AO31" s="569"/>
      <c r="AP31" s="572"/>
      <c r="AQ31" s="341"/>
      <c r="AR31" s="188"/>
    </row>
    <row r="32" spans="2:70" ht="257.5" customHeight="1" thickTop="1" thickBot="1" x14ac:dyDescent="0.4">
      <c r="B32" s="870"/>
      <c r="C32" s="559" t="s">
        <v>93</v>
      </c>
      <c r="D32" s="760" t="s">
        <v>234</v>
      </c>
      <c r="E32" s="576" t="s">
        <v>4</v>
      </c>
      <c r="F32" s="624" t="s">
        <v>235</v>
      </c>
      <c r="G32" s="627" t="s">
        <v>236</v>
      </c>
      <c r="H32" s="627" t="s">
        <v>237</v>
      </c>
      <c r="I32" s="588" t="s">
        <v>28</v>
      </c>
      <c r="J32" s="588" t="s">
        <v>29</v>
      </c>
      <c r="K32" s="591" t="s">
        <v>238</v>
      </c>
      <c r="L32" s="588" t="s">
        <v>186</v>
      </c>
      <c r="M32" s="594" t="s">
        <v>207</v>
      </c>
      <c r="N32" s="597" t="str">
        <f>+IF(M32="","",IF(M32=$BO$15,$BN$15,IF(M32=$BO$16,$BN$16,IF(M32=$BO$17,$BN$17,IF(M32=$BO$18,$BN$18,IF(M32=$BO$19,$BN$19))))))</f>
        <v>Baja</v>
      </c>
      <c r="O32" s="600">
        <f>+IF(M32="","",IF(M32=$BO$15,$BR$15,IF(M32=$BO$16,$BR$16,IF(M32=$BO$17,$BR$17,IF(M32=$BO$18,$BR$18,IF(M32=$BO$19,$BR$19))))))</f>
        <v>0.4</v>
      </c>
      <c r="P32" s="594" t="s">
        <v>205</v>
      </c>
      <c r="Q32" s="603" t="str">
        <f>+IF(P32="","",IF(P32='[4]Mapa de Calor inherente'!$AF$6,'[4]Mapa de Calor inherente'!$AD$6,IF(P32='[4]Mapa de Calor inherente'!$AF$7,'[4]Mapa de Calor inherente'!$AD$7,IF(P32='[4]Mapa de Calor inherente'!$AF$8,'[4]Mapa de Calor inherente'!$AD$8,IF(P32='[4]Mapa de Calor inherente'!$AF$9,'[4]Mapa de Calor inherente'!$AD$9,IF(P32='[4]Mapa de Calor inherente'!$AF$10,'[4]Mapa de Calor inherente'!$AD$10,IF(P32='[4]Mapa de Calor inherente'!$AG$6,'[4]Mapa de Calor inherente'!$AD$6,IF(P32='[4]Mapa de Calor inherente'!$AG$7,'[4]Mapa de Calor inherente'!$AD$7,IF(P32='[4]Mapa de Calor inherente'!$AG$8,'[4]Mapa de Calor inherente'!$AD$8,IF(P32='[4]Mapa de Calor inherente'!$AG$9,'[4]Mapa de Calor inherente'!$AD$9,IF(P32='[4]Mapa de Calor inherente'!$AG$10,'[4]Mapa de Calor inherente'!$AD$10,IF(P32='[4]Mapa de Calor inherente'!$AD$8,'[4]Mapa de Calor inherente'!$AD$8,IF(P32='[4]Mapa de Calor inherente'!$AD$9,'[4]Mapa de Calor inherente'!$AD$9,IF(P32='[4]Mapa de Calor inherente'!$AD$10,'[4]Mapa de Calor inherente'!$AD$10))))))))))))))</f>
        <v>Menor</v>
      </c>
      <c r="R32" s="600">
        <f>+IF(P32="","",IF(P32='[4]Mapa de Calor inherente'!$AF$6,'[4]Mapa de Calor inherente'!$AE$6,IF(P32='[4]Mapa de Calor inherente'!$AF$7,'[4]Mapa de Calor inherente'!$AE$7,IF(P32='[4]Mapa de Calor inherente'!$AF$8,'[4]Mapa de Calor inherente'!$AE$8,IF(P32='[4]Mapa de Calor inherente'!$AF$9,'[4]Mapa de Calor inherente'!$AE$9,IF(P32='[4]Mapa de Calor inherente'!$AF$10,'[4]Mapa de Calor inherente'!$AE$10,IF(P32='[4]Mapa de Calor inherente'!$AG$6,'[4]Mapa de Calor inherente'!$AE$6,IF(P32='[4]Mapa de Calor inherente'!$AG$7,'[4]Mapa de Calor inherente'!$AE$7,IF(P32='[4]Mapa de Calor inherente'!$AG$8,'[4]Mapa de Calor inherente'!$AE$8,IF(P32='[4]Mapa de Calor inherente'!$AG$9,'[4]Mapa de Calor inherente'!$AE$9,IF(P32='[4]Mapa de Calor inherente'!$AG$10,'[4]Mapa de Calor inherente'!$AE$10,IF(P32='[4]Mapa de Calor inherente'!$AD$8,'[4]Mapa de Calor inherente'!$AE$8,IF(P32='[4]Mapa de Calor inherente'!$AD$9,'[4]Mapa de Calor inherente'!$AE$9,IF(P32='[4]Mapa de Calor inherente'!$AD$10,'[4]Mapa de Calor inherente'!$AE$10))))))))))))))</f>
        <v>0.4</v>
      </c>
      <c r="S32" s="282">
        <f>IF(O32="","",IF(R32="","",(O32*R32)))</f>
        <v>0.16000000000000003</v>
      </c>
      <c r="T32" s="603" t="str">
        <f>+IF(N32=$BB$17,IF(Q32=$BC$16,$BC$17,IF(Q32=$BD$16,$BD$17,IF(Q32=$BE$16,$BE$17,IF(Q32=$BF$16,$BF$17,IF(Q32=$BG$16,$BG$17))))),IF(N32=$BB$18,IF(Q32=$BC$16,$BC$18,IF(Q32=$BD$16,$BD$18,IF(Q32=$BE$16,$BE$18,IF(Q32=$BF$16,$BF$18,IF(Q32=$BG$16,$BG$18))))),IF(N32=$BB$19,IF(Q32=$BC$16,$BC$19,IF(Q32=$BD$16,$BD$19,IF(Q32=$BE$16,$BE$19,IF(Q32=$BF$16,$BF$19,IF(Q32=$BG$16,$BG$19))))),IF(N32=$BB$20,IF(Q32=$BC$16,$BC$20,IF(Q32=$BD$16,$BD$20,IF(Q32=$BE$16,$BE$20,IF(Q32=$BF$16,$BF$20,IF(Q32=$BG$16,$BG$20))))),IF(N32=$BB$21,IF(Q32=$BC$16,$BC$21,IF(Q32=$BD$16,$BD$21,IF(Q32=$BE$16,$BE$21,IF(Q32=$BF$16,$BF$21,IF(Q32=$BG$16,$BG$21))))),"")))))</f>
        <v>Moderado</v>
      </c>
      <c r="U32" s="139" t="s">
        <v>171</v>
      </c>
      <c r="V32" s="417" t="s">
        <v>239</v>
      </c>
      <c r="W32" s="295" t="s">
        <v>40</v>
      </c>
      <c r="X32" s="296">
        <f>IF(W32=[4]Listas!$B$46,[4]Listas!$C$46,IF(W32=[4]Listas!$B$47,[4]Listas!$C$47,IF(W32=[4]Listas!$B$48,[4]Listas!$C$48,"")))</f>
        <v>0.25</v>
      </c>
      <c r="Y32" s="297" t="str">
        <f>IF(OR(W32=[4]Listas!$F$53,W32=[4]Listas!$F$54),[4]Listas!$G$53,IF(W32=[4]Listas!$F$55,[4]Listas!$G$55,""))</f>
        <v>Probabilidad</v>
      </c>
      <c r="Z32" s="295" t="s">
        <v>43</v>
      </c>
      <c r="AA32" s="296">
        <f>+IF(Z32=[4]Listas!$E$46,[4]Listas!$F$46,IF(Z32=[4]Listas!$E$47,[4]Listas!$F$47,""))</f>
        <v>0.15</v>
      </c>
      <c r="AB32" s="140">
        <f>IFERROR(X32+AA32,"")</f>
        <v>0.4</v>
      </c>
      <c r="AC32" s="291" t="s">
        <v>57</v>
      </c>
      <c r="AD32" s="295" t="s">
        <v>58</v>
      </c>
      <c r="AE32" s="298" t="s">
        <v>59</v>
      </c>
      <c r="AF32" s="299" t="str">
        <f t="shared" si="0"/>
        <v>Baja</v>
      </c>
      <c r="AG32" s="141">
        <f>IF(Y32=[4]Listas!$G$53,O32-(O32*AB32),O32)</f>
        <v>0.24</v>
      </c>
      <c r="AH32" s="561">
        <f>+IF(AG41="","",AG41)</f>
        <v>0.24</v>
      </c>
      <c r="AI32" s="299" t="str">
        <f>IF(AJ32="","",IF(AJ32&lt;=20%,"Leve",IF(AJ32&lt;=40%,"Menor",IF(AJ32&lt;=60%,"Moderado",IF(AJ32&lt;=80%,"Mayor","Catastrófico")))))</f>
        <v>Menor</v>
      </c>
      <c r="AJ32" s="141">
        <f>IF(Y32=[4]Listas!$G$55,R32-(R32*AB32),R32)</f>
        <v>0.4</v>
      </c>
      <c r="AK32" s="561">
        <f>+IF(AJ41="","",AJ41)</f>
        <v>0.4</v>
      </c>
      <c r="AL32" s="564" t="str">
        <f>+IF(AH32=0,"",IF(AH32&lt;=$BA$21,$BB$21,IF(AH32&lt;=$BA$20,$BB$20,IF(AH32&lt;=$BA$19,$BB$19,IF(AH32&lt;=$BA$18,$BB$18,IF(AH32&lt;=$BA$17,$BB$17,""))))))</f>
        <v>Baja</v>
      </c>
      <c r="AM32" s="564" t="str">
        <f>+IF(AK32=0,"",IF(AK32&lt;=$BC$15,$BC$16,IF(AK32&lt;=$BD$15,$BD$16,IF(AK32&lt;=$BE$15,$BE$16,IF(AK32&lt;=$BF$15,$BF$16,IF(AK32&lt;=$BG$15,$BG$16,""))))))</f>
        <v>Menor</v>
      </c>
      <c r="AN32" s="564" t="str">
        <f>IF(AL32=$BB$17,IF(AM32=$BC$16,$BC$17,IF(AM32=$BD$16,$BD$17,IF(AM32=$BE$16,$BE$17,IF(AM32=$BF$16,$BF$17,IF(AM32=$BG$16,$BG$17))))),IF(AL32=$BB$18,IF(AM32=$BC$16,$BC$18,IF(AM32=$BD$16,$BD$18,IF(AM32=$BE$16,$BE$18,IF(AM32=$BF$16,$BF$18,IF(AM32=$BG$16,$BG$18))))),IF(AL32=$BB$19,IF(AM32=$BC$16,$BC$19,IF(AM32=$BD$16,$BD$19,IF(AM32=$BE$16,$BE$19,IF(AM32=$BF$16,$BF$19,IF(AM32=$BG$16,$BG$19))))),IF(AL32=$BB$20,IF(AM32=$BC$16,$BC$20,IF(AM32=$BD$16,$BD$20,IF(AM32=$BE$16,$BE$20,IF(AM32=$BF$16,$BF$20,IF(AM32=$BG$16,$BG$20))))),IF(AL32=$BB$21,IF(AM32=$BC$16,$BC$21,IF(AM32=$BD$16,$BD$21,IF(AM32=$BE$16,$BE$21,IF(AM32=$BF$16,$BF$21,IF(AM32=$BG$16,$BG$21))))),"")))))</f>
        <v>Moderado</v>
      </c>
      <c r="AO32" s="567" t="str">
        <f>IF(AP32="","",IF(AP32=[4]Listas!$F$61,[4]Listas!$G$61,IF(AP32=[4]Listas!$F$63,[4]Listas!$G$63,IF(AP32=[4]Listas!$F$64,[4]Listas!$G$64))))</f>
        <v>Requiere Plan de Acción</v>
      </c>
      <c r="AP32" s="630" t="str">
        <f>IF(AN32="","",IF(OR(AN32=[4]Listas!$E$61,AN32=[4]Listas!$E$62),[4]Listas!$F$61,IF(AN32=[4]Listas!$E$63,[4]Listas!$F$63,IF(AN32=[4]Listas!$E$64,[4]Listas!$F$64))))</f>
        <v>Aceptar o reducir el riesgo</v>
      </c>
      <c r="AQ32" s="300" t="s">
        <v>80</v>
      </c>
      <c r="AR32" s="189" t="s">
        <v>240</v>
      </c>
    </row>
    <row r="33" spans="2:70" ht="134.25" customHeight="1" thickTop="1" thickBot="1" x14ac:dyDescent="0.35">
      <c r="B33" s="870"/>
      <c r="C33" s="559"/>
      <c r="D33" s="761"/>
      <c r="E33" s="577"/>
      <c r="F33" s="625"/>
      <c r="G33" s="628"/>
      <c r="H33" s="628"/>
      <c r="I33" s="589"/>
      <c r="J33" s="589"/>
      <c r="K33" s="592"/>
      <c r="L33" s="589"/>
      <c r="M33" s="595"/>
      <c r="N33" s="598"/>
      <c r="O33" s="601"/>
      <c r="P33" s="595"/>
      <c r="Q33" s="604"/>
      <c r="R33" s="601"/>
      <c r="S33" s="283"/>
      <c r="T33" s="604"/>
      <c r="U33" s="142" t="s">
        <v>174</v>
      </c>
      <c r="V33" s="415"/>
      <c r="W33" s="301"/>
      <c r="X33" s="302" t="str">
        <f>IF(W33=[4]Listas!$B$46,[4]Listas!$C$46,IF(W33=[4]Listas!$B$47,[4]Listas!$C$47,IF(W33=[4]Listas!$B$48,[4]Listas!$C$48,"")))</f>
        <v/>
      </c>
      <c r="Y33" s="303" t="str">
        <f>IF(OR(W33=[4]Listas!$F$53,W33=[4]Listas!$F$54),[4]Listas!$G$53,IF(W33=[4]Listas!$F$55,[4]Listas!$G$55,""))</f>
        <v/>
      </c>
      <c r="Z33" s="301"/>
      <c r="AA33" s="143" t="str">
        <f>+IF(Z33=[4]Listas!$E$46,[4]Listas!$F$46,IF(Z33=[4]Listas!$E$47,[4]Listas!$F$47,""))</f>
        <v/>
      </c>
      <c r="AB33" s="144" t="str">
        <f>IFERROR(X33+AA33,"")</f>
        <v/>
      </c>
      <c r="AC33" s="301"/>
      <c r="AD33" s="301"/>
      <c r="AE33" s="304"/>
      <c r="AF33" s="305" t="str">
        <f t="shared" si="0"/>
        <v>Baja</v>
      </c>
      <c r="AG33" s="145">
        <f>IF(Y33=[4]Listas!$G$53,AG32-(AG32*AB33),AG32)</f>
        <v>0.24</v>
      </c>
      <c r="AH33" s="562"/>
      <c r="AI33" s="305" t="str">
        <f t="shared" ref="AI33:AI71" si="4">IF(AJ33="","",IF(AJ33&lt;=20%,"Leve",IF(AJ33&lt;=40%,"Menor",IF(AJ33&lt;=60%,"Moderado",IF(AJ33&lt;=80%,"Mayor","Catastrófico")))))</f>
        <v>Menor</v>
      </c>
      <c r="AJ33" s="145">
        <f>IF(Y33=[4]Listas!$G$55,AJ32-(AJ32*AB33),AJ32)</f>
        <v>0.4</v>
      </c>
      <c r="AK33" s="562"/>
      <c r="AL33" s="565"/>
      <c r="AM33" s="565"/>
      <c r="AN33" s="565"/>
      <c r="AO33" s="568"/>
      <c r="AP33" s="631"/>
      <c r="AQ33" s="306" t="s">
        <v>80</v>
      </c>
      <c r="AR33" s="190" t="s">
        <v>241</v>
      </c>
      <c r="AZ33" s="633" t="s">
        <v>177</v>
      </c>
      <c r="BA33" s="634"/>
      <c r="BB33" s="634"/>
      <c r="BC33" s="634"/>
      <c r="BD33" s="634"/>
      <c r="BE33" s="634"/>
      <c r="BF33" s="634"/>
      <c r="BG33" s="635"/>
      <c r="BI33" s="636" t="s">
        <v>178</v>
      </c>
      <c r="BJ33" s="637"/>
      <c r="BK33" s="637"/>
      <c r="BL33" s="638"/>
      <c r="BN33" s="639" t="s">
        <v>179</v>
      </c>
      <c r="BO33" s="640"/>
      <c r="BP33" s="641"/>
      <c r="BQ33" s="641"/>
      <c r="BR33" s="642"/>
    </row>
    <row r="34" spans="2:70" ht="183.75" customHeight="1" thickTop="1" thickBot="1" x14ac:dyDescent="0.35">
      <c r="B34" s="870"/>
      <c r="C34" s="559"/>
      <c r="D34" s="761"/>
      <c r="E34" s="577"/>
      <c r="F34" s="625"/>
      <c r="G34" s="628"/>
      <c r="H34" s="628"/>
      <c r="I34" s="589"/>
      <c r="J34" s="589"/>
      <c r="K34" s="592"/>
      <c r="L34" s="589"/>
      <c r="M34" s="595"/>
      <c r="N34" s="598"/>
      <c r="O34" s="601"/>
      <c r="P34" s="595"/>
      <c r="Q34" s="604"/>
      <c r="R34" s="601"/>
      <c r="S34" s="283"/>
      <c r="T34" s="604"/>
      <c r="U34" s="142" t="s">
        <v>180</v>
      </c>
      <c r="V34" s="415"/>
      <c r="W34" s="301"/>
      <c r="X34" s="302" t="str">
        <f>IF(W34=[4]Listas!$B$46,[4]Listas!$C$46,IF(W34=[4]Listas!$B$47,[4]Listas!$C$47,IF(W34=[4]Listas!$B$48,[4]Listas!$C$48,"")))</f>
        <v/>
      </c>
      <c r="Y34" s="303" t="str">
        <f>IF(OR(W34=[4]Listas!$F$53,W34=[4]Listas!$F$54),[4]Listas!$G$53,IF(W34=[4]Listas!$F$55,[4]Listas!$G$55,""))</f>
        <v/>
      </c>
      <c r="Z34" s="301"/>
      <c r="AA34" s="143" t="str">
        <f>+IF(Z34=[4]Listas!$E$46,[4]Listas!$F$46,IF(Z34=[4]Listas!$E$47,[4]Listas!$F$47,""))</f>
        <v/>
      </c>
      <c r="AB34" s="144" t="str">
        <f>IFERROR(X34+AA34,"")</f>
        <v/>
      </c>
      <c r="AC34" s="301"/>
      <c r="AD34" s="301"/>
      <c r="AE34" s="304"/>
      <c r="AF34" s="305" t="str">
        <f t="shared" si="0"/>
        <v>Baja</v>
      </c>
      <c r="AG34" s="145">
        <f>IF(Y34=[4]Listas!$G$53,AG33-(AG33*AB34),AG33)</f>
        <v>0.24</v>
      </c>
      <c r="AH34" s="562"/>
      <c r="AI34" s="305" t="str">
        <f t="shared" si="4"/>
        <v>Menor</v>
      </c>
      <c r="AJ34" s="145">
        <f>IF(Y34=[4]Listas!$G$55,AJ33-(AJ33*AB34),AJ33)</f>
        <v>0.4</v>
      </c>
      <c r="AK34" s="562"/>
      <c r="AL34" s="565"/>
      <c r="AM34" s="565"/>
      <c r="AN34" s="565"/>
      <c r="AO34" s="568"/>
      <c r="AP34" s="631"/>
      <c r="AQ34" s="306" t="s">
        <v>80</v>
      </c>
      <c r="AR34" s="190" t="s">
        <v>242</v>
      </c>
      <c r="AZ34" s="146"/>
      <c r="BA34" s="147"/>
      <c r="BB34" s="148"/>
      <c r="BC34" s="643" t="s">
        <v>70</v>
      </c>
      <c r="BD34" s="643"/>
      <c r="BE34" s="643"/>
      <c r="BF34" s="643"/>
      <c r="BG34" s="643"/>
      <c r="BI34" s="149" t="s">
        <v>183</v>
      </c>
      <c r="BJ34" s="150" t="s">
        <v>184</v>
      </c>
      <c r="BK34" s="150" t="s">
        <v>185</v>
      </c>
      <c r="BL34" s="151" t="s">
        <v>186</v>
      </c>
      <c r="BN34" s="149" t="s">
        <v>183</v>
      </c>
      <c r="BO34" s="150" t="s">
        <v>187</v>
      </c>
      <c r="BP34" s="152" t="s">
        <v>188</v>
      </c>
      <c r="BQ34" s="152" t="s">
        <v>189</v>
      </c>
      <c r="BR34" s="151" t="s">
        <v>60</v>
      </c>
    </row>
    <row r="35" spans="2:70" ht="15" hidden="1" thickTop="1" thickBot="1" x14ac:dyDescent="0.4">
      <c r="B35" s="870"/>
      <c r="C35" s="559"/>
      <c r="D35" s="761"/>
      <c r="E35" s="577"/>
      <c r="F35" s="625"/>
      <c r="G35" s="628"/>
      <c r="H35" s="628"/>
      <c r="I35" s="589"/>
      <c r="J35" s="589"/>
      <c r="K35" s="592"/>
      <c r="L35" s="589"/>
      <c r="M35" s="595"/>
      <c r="N35" s="598"/>
      <c r="O35" s="601"/>
      <c r="P35" s="595"/>
      <c r="Q35" s="604"/>
      <c r="R35" s="601"/>
      <c r="S35" s="283"/>
      <c r="T35" s="604"/>
      <c r="U35" s="142" t="s">
        <v>190</v>
      </c>
      <c r="V35" s="415"/>
      <c r="W35" s="301"/>
      <c r="X35" s="302" t="str">
        <f>IF(W35=[4]Listas!$B$46,[4]Listas!$C$46,IF(W35=[4]Listas!$B$47,[4]Listas!$C$47,IF(W35=[4]Listas!$B$48,[4]Listas!$C$48,"")))</f>
        <v/>
      </c>
      <c r="Y35" s="303" t="str">
        <f>IF(OR(W35=[4]Listas!$F$53,W35=[4]Listas!$F$54),[4]Listas!$G$53,IF(W35=[4]Listas!$F$55,[4]Listas!$G$55,""))</f>
        <v/>
      </c>
      <c r="Z35" s="301"/>
      <c r="AA35" s="143" t="str">
        <f>+IF(Z35=[4]Listas!$E$46,[4]Listas!$F$46,IF(Z35=[4]Listas!$E$47,[4]Listas!$F$47,""))</f>
        <v/>
      </c>
      <c r="AB35" s="144" t="str">
        <f t="shared" ref="AB35:AB41" si="5">IFERROR(X35+AA35,"")</f>
        <v/>
      </c>
      <c r="AC35" s="301"/>
      <c r="AD35" s="301"/>
      <c r="AE35" s="304"/>
      <c r="AF35" s="305" t="str">
        <f t="shared" si="0"/>
        <v>Baja</v>
      </c>
      <c r="AG35" s="145">
        <f>IF(Y35=[4]Listas!$G$53,AG34-(AG34*AB35),AG34)</f>
        <v>0.24</v>
      </c>
      <c r="AH35" s="562"/>
      <c r="AI35" s="305" t="str">
        <f t="shared" si="4"/>
        <v>Menor</v>
      </c>
      <c r="AJ35" s="145">
        <f>IF(Y35=[4]Listas!$G$55,AJ34-(AJ34*AB35),AJ34)</f>
        <v>0.4</v>
      </c>
      <c r="AK35" s="562"/>
      <c r="AL35" s="565"/>
      <c r="AM35" s="565"/>
      <c r="AN35" s="565"/>
      <c r="AO35" s="568"/>
      <c r="AP35" s="631"/>
      <c r="AQ35" s="306"/>
      <c r="AR35" s="117"/>
      <c r="AZ35" s="153"/>
      <c r="BA35" s="154"/>
      <c r="BB35" s="155" t="s">
        <v>192</v>
      </c>
      <c r="BC35" s="156">
        <v>0.2</v>
      </c>
      <c r="BD35" s="156">
        <v>0.4</v>
      </c>
      <c r="BE35" s="156">
        <v>0.6</v>
      </c>
      <c r="BF35" s="156">
        <v>0.8</v>
      </c>
      <c r="BG35" s="156">
        <v>1</v>
      </c>
      <c r="BI35" s="157" t="s">
        <v>193</v>
      </c>
      <c r="BJ35" s="158">
        <v>0.2</v>
      </c>
      <c r="BK35" s="159" t="s">
        <v>194</v>
      </c>
      <c r="BL35" s="160" t="s">
        <v>195</v>
      </c>
      <c r="BN35" s="157" t="s">
        <v>196</v>
      </c>
      <c r="BO35" s="159" t="s">
        <v>197</v>
      </c>
      <c r="BP35" s="161">
        <v>0</v>
      </c>
      <c r="BQ35" s="161">
        <v>2</v>
      </c>
      <c r="BR35" s="162">
        <v>0.2</v>
      </c>
    </row>
    <row r="36" spans="2:70" ht="15" hidden="1" thickTop="1" thickBot="1" x14ac:dyDescent="0.4">
      <c r="B36" s="870"/>
      <c r="C36" s="559"/>
      <c r="D36" s="761"/>
      <c r="E36" s="577"/>
      <c r="F36" s="625"/>
      <c r="G36" s="628"/>
      <c r="H36" s="628"/>
      <c r="I36" s="589"/>
      <c r="J36" s="589"/>
      <c r="K36" s="592"/>
      <c r="L36" s="589"/>
      <c r="M36" s="595"/>
      <c r="N36" s="598"/>
      <c r="O36" s="601"/>
      <c r="P36" s="595"/>
      <c r="Q36" s="604"/>
      <c r="R36" s="601"/>
      <c r="S36" s="283"/>
      <c r="T36" s="604"/>
      <c r="U36" s="142" t="s">
        <v>198</v>
      </c>
      <c r="V36" s="415"/>
      <c r="W36" s="301"/>
      <c r="X36" s="302" t="str">
        <f>IF(W36=[4]Listas!$B$46,[4]Listas!$C$46,IF(W36=[4]Listas!$B$47,[4]Listas!$C$47,IF(W36=[4]Listas!$B$48,[4]Listas!$C$48,"")))</f>
        <v/>
      </c>
      <c r="Y36" s="303" t="str">
        <f>IF(OR(W36=[4]Listas!$F$53,W36=[4]Listas!$F$54),[4]Listas!$G$53,IF(W36=[4]Listas!$F$55,[4]Listas!$G$55,""))</f>
        <v/>
      </c>
      <c r="Z36" s="301"/>
      <c r="AA36" s="143" t="str">
        <f>+IF(Z36=[4]Listas!$E$46,[4]Listas!$F$46,IF(Z36=[4]Listas!$E$47,[4]Listas!$F$47,""))</f>
        <v/>
      </c>
      <c r="AB36" s="144" t="str">
        <f t="shared" si="5"/>
        <v/>
      </c>
      <c r="AC36" s="301"/>
      <c r="AD36" s="301"/>
      <c r="AE36" s="304"/>
      <c r="AF36" s="305" t="str">
        <f t="shared" si="0"/>
        <v>Baja</v>
      </c>
      <c r="AG36" s="145">
        <f>IF(Y36=[4]Listas!$G$53,AG35-(AG35*AB36),AG35)</f>
        <v>0.24</v>
      </c>
      <c r="AH36" s="562"/>
      <c r="AI36" s="305" t="str">
        <f t="shared" si="4"/>
        <v>Menor</v>
      </c>
      <c r="AJ36" s="145">
        <f>IF(Y36=[4]Listas!$G$55,AJ35-(AJ35*AB36),AJ35)</f>
        <v>0.4</v>
      </c>
      <c r="AK36" s="562"/>
      <c r="AL36" s="565"/>
      <c r="AM36" s="565"/>
      <c r="AN36" s="565"/>
      <c r="AO36" s="568"/>
      <c r="AP36" s="631"/>
      <c r="AQ36" s="306"/>
      <c r="AR36" s="117"/>
      <c r="AZ36" s="153"/>
      <c r="BA36" s="154"/>
      <c r="BB36" s="163" t="s">
        <v>200</v>
      </c>
      <c r="BC36" s="164" t="s">
        <v>193</v>
      </c>
      <c r="BD36" s="164" t="s">
        <v>201</v>
      </c>
      <c r="BE36" s="164" t="s">
        <v>83</v>
      </c>
      <c r="BF36" s="164" t="s">
        <v>202</v>
      </c>
      <c r="BG36" s="164" t="s">
        <v>203</v>
      </c>
      <c r="BI36" s="165" t="s">
        <v>201</v>
      </c>
      <c r="BJ36" s="158">
        <v>0.4</v>
      </c>
      <c r="BK36" s="166" t="s">
        <v>204</v>
      </c>
      <c r="BL36" s="167" t="s">
        <v>205</v>
      </c>
      <c r="BN36" s="165" t="s">
        <v>206</v>
      </c>
      <c r="BO36" s="166" t="s">
        <v>207</v>
      </c>
      <c r="BP36" s="161">
        <v>3</v>
      </c>
      <c r="BQ36" s="161">
        <v>24</v>
      </c>
      <c r="BR36" s="162">
        <v>0.4</v>
      </c>
    </row>
    <row r="37" spans="2:70" ht="15" hidden="1" thickTop="1" thickBot="1" x14ac:dyDescent="0.4">
      <c r="B37" s="870"/>
      <c r="C37" s="559"/>
      <c r="D37" s="761"/>
      <c r="E37" s="577"/>
      <c r="F37" s="625"/>
      <c r="G37" s="628"/>
      <c r="H37" s="628"/>
      <c r="I37" s="589"/>
      <c r="J37" s="589"/>
      <c r="K37" s="592"/>
      <c r="L37" s="589"/>
      <c r="M37" s="595"/>
      <c r="N37" s="598"/>
      <c r="O37" s="601"/>
      <c r="P37" s="595"/>
      <c r="Q37" s="604"/>
      <c r="R37" s="601"/>
      <c r="S37" s="283"/>
      <c r="T37" s="604"/>
      <c r="U37" s="142" t="s">
        <v>208</v>
      </c>
      <c r="V37" s="415"/>
      <c r="W37" s="301"/>
      <c r="X37" s="302" t="str">
        <f>IF(W37=[4]Listas!$B$46,[4]Listas!$C$46,IF(W37=[4]Listas!$B$47,[4]Listas!$C$47,IF(W37=[4]Listas!$B$48,[4]Listas!$C$48,"")))</f>
        <v/>
      </c>
      <c r="Y37" s="303" t="str">
        <f>IF(OR(W37=[4]Listas!$F$53,W37=[4]Listas!$F$54),[4]Listas!$G$53,IF(W37=[4]Listas!$F$55,[4]Listas!$G$55,""))</f>
        <v/>
      </c>
      <c r="Z37" s="301"/>
      <c r="AA37" s="143" t="str">
        <f>+IF(Z37=[4]Listas!$E$46,[4]Listas!$F$46,IF(Z37=[4]Listas!$E$47,[4]Listas!$F$47,""))</f>
        <v/>
      </c>
      <c r="AB37" s="144" t="str">
        <f t="shared" si="5"/>
        <v/>
      </c>
      <c r="AC37" s="301"/>
      <c r="AD37" s="301"/>
      <c r="AE37" s="304"/>
      <c r="AF37" s="305" t="str">
        <f t="shared" si="0"/>
        <v>Baja</v>
      </c>
      <c r="AG37" s="145">
        <f>IF(Y37=[4]Listas!$G$53,AG36-(AG36*AB37),AG36)</f>
        <v>0.24</v>
      </c>
      <c r="AH37" s="562"/>
      <c r="AI37" s="305" t="str">
        <f t="shared" si="4"/>
        <v>Menor</v>
      </c>
      <c r="AJ37" s="145">
        <f>IF(Y37=[4]Listas!$G$55,AJ36-(AJ36*AB37),AJ36)</f>
        <v>0.4</v>
      </c>
      <c r="AK37" s="562"/>
      <c r="AL37" s="565"/>
      <c r="AM37" s="565"/>
      <c r="AN37" s="565"/>
      <c r="AO37" s="568"/>
      <c r="AP37" s="631"/>
      <c r="AQ37" s="306"/>
      <c r="AR37" s="117"/>
      <c r="AZ37" s="644" t="s">
        <v>60</v>
      </c>
      <c r="BA37" s="168">
        <v>1</v>
      </c>
      <c r="BB37" s="164" t="s">
        <v>210</v>
      </c>
      <c r="BC37" s="169" t="s">
        <v>81</v>
      </c>
      <c r="BD37" s="169" t="s">
        <v>81</v>
      </c>
      <c r="BE37" s="169" t="s">
        <v>81</v>
      </c>
      <c r="BF37" s="169" t="s">
        <v>81</v>
      </c>
      <c r="BG37" s="170" t="s">
        <v>77</v>
      </c>
      <c r="BI37" s="171" t="s">
        <v>83</v>
      </c>
      <c r="BJ37" s="158">
        <v>0.6</v>
      </c>
      <c r="BK37" s="166" t="s">
        <v>211</v>
      </c>
      <c r="BL37" s="167" t="s">
        <v>212</v>
      </c>
      <c r="BN37" s="171" t="s">
        <v>213</v>
      </c>
      <c r="BO37" s="166" t="s">
        <v>214</v>
      </c>
      <c r="BP37" s="161">
        <v>25</v>
      </c>
      <c r="BQ37" s="161">
        <v>500</v>
      </c>
      <c r="BR37" s="162">
        <v>0.6</v>
      </c>
    </row>
    <row r="38" spans="2:70" ht="15" hidden="1" thickTop="1" thickBot="1" x14ac:dyDescent="0.4">
      <c r="B38" s="870"/>
      <c r="C38" s="559"/>
      <c r="D38" s="761"/>
      <c r="E38" s="577"/>
      <c r="F38" s="625"/>
      <c r="G38" s="628"/>
      <c r="H38" s="628"/>
      <c r="I38" s="589"/>
      <c r="J38" s="589"/>
      <c r="K38" s="592"/>
      <c r="L38" s="589"/>
      <c r="M38" s="595"/>
      <c r="N38" s="598"/>
      <c r="O38" s="601"/>
      <c r="P38" s="595"/>
      <c r="Q38" s="604"/>
      <c r="R38" s="601"/>
      <c r="S38" s="283"/>
      <c r="T38" s="604"/>
      <c r="U38" s="142" t="s">
        <v>215</v>
      </c>
      <c r="V38" s="418"/>
      <c r="W38" s="301"/>
      <c r="X38" s="302" t="str">
        <f>IF(W38=[4]Listas!$B$46,[4]Listas!$C$46,IF(W38=[4]Listas!$B$47,[4]Listas!$C$47,IF(W38=[4]Listas!$B$48,[4]Listas!$C$48,"")))</f>
        <v/>
      </c>
      <c r="Y38" s="303" t="str">
        <f>IF(OR(W38=[4]Listas!$F$53,W38=[4]Listas!$F$54),[4]Listas!$G$53,IF(W38=[4]Listas!$F$55,[4]Listas!$G$55,""))</f>
        <v/>
      </c>
      <c r="Z38" s="301"/>
      <c r="AA38" s="143" t="str">
        <f>+IF(Z38=[4]Listas!$E$46,[4]Listas!$F$46,IF(Z38=[4]Listas!$E$47,[4]Listas!$F$47,""))</f>
        <v/>
      </c>
      <c r="AB38" s="144" t="str">
        <f t="shared" si="5"/>
        <v/>
      </c>
      <c r="AC38" s="301"/>
      <c r="AD38" s="301"/>
      <c r="AE38" s="304"/>
      <c r="AF38" s="305" t="str">
        <f t="shared" si="0"/>
        <v>Baja</v>
      </c>
      <c r="AG38" s="145">
        <f>IF(Y38=[4]Listas!$G$53,AG37-(AG37*AB38),AG37)</f>
        <v>0.24</v>
      </c>
      <c r="AH38" s="562"/>
      <c r="AI38" s="305" t="str">
        <f t="shared" si="4"/>
        <v>Menor</v>
      </c>
      <c r="AJ38" s="145">
        <f>IF(Y38=[4]Listas!$G$55,AJ37-(AJ37*AB38),AJ37)</f>
        <v>0.4</v>
      </c>
      <c r="AK38" s="562"/>
      <c r="AL38" s="565"/>
      <c r="AM38" s="565"/>
      <c r="AN38" s="565"/>
      <c r="AO38" s="568"/>
      <c r="AP38" s="631"/>
      <c r="AQ38" s="306"/>
      <c r="AR38" s="117"/>
      <c r="AZ38" s="644"/>
      <c r="BA38" s="168">
        <v>0.8</v>
      </c>
      <c r="BB38" s="164" t="s">
        <v>217</v>
      </c>
      <c r="BC38" s="172" t="s">
        <v>83</v>
      </c>
      <c r="BD38" s="172" t="s">
        <v>83</v>
      </c>
      <c r="BE38" s="169" t="s">
        <v>81</v>
      </c>
      <c r="BF38" s="169" t="s">
        <v>81</v>
      </c>
      <c r="BG38" s="170" t="s">
        <v>77</v>
      </c>
      <c r="BI38" s="173" t="s">
        <v>202</v>
      </c>
      <c r="BJ38" s="158">
        <v>0.8</v>
      </c>
      <c r="BK38" s="166" t="s">
        <v>218</v>
      </c>
      <c r="BL38" s="167" t="s">
        <v>219</v>
      </c>
      <c r="BN38" s="173" t="s">
        <v>217</v>
      </c>
      <c r="BO38" s="166" t="s">
        <v>169</v>
      </c>
      <c r="BP38" s="161">
        <v>5001</v>
      </c>
      <c r="BQ38" s="161">
        <v>5000</v>
      </c>
      <c r="BR38" s="162">
        <v>0.8</v>
      </c>
    </row>
    <row r="39" spans="2:70" ht="15" hidden="1" customHeight="1" thickTop="1" thickBot="1" x14ac:dyDescent="0.4">
      <c r="B39" s="870"/>
      <c r="C39" s="559"/>
      <c r="D39" s="761"/>
      <c r="E39" s="577"/>
      <c r="F39" s="625"/>
      <c r="G39" s="628"/>
      <c r="H39" s="628"/>
      <c r="I39" s="589"/>
      <c r="J39" s="589"/>
      <c r="K39" s="592"/>
      <c r="L39" s="589"/>
      <c r="M39" s="595"/>
      <c r="N39" s="598"/>
      <c r="O39" s="601"/>
      <c r="P39" s="595"/>
      <c r="Q39" s="604"/>
      <c r="R39" s="601"/>
      <c r="S39" s="283"/>
      <c r="T39" s="604"/>
      <c r="U39" s="142" t="s">
        <v>220</v>
      </c>
      <c r="V39" s="419"/>
      <c r="W39" s="301"/>
      <c r="X39" s="302" t="str">
        <f>IF(W39=[4]Listas!$B$46,[4]Listas!$C$46,IF(W39=[4]Listas!$B$47,[4]Listas!$C$47,IF(W39=[4]Listas!$B$48,[4]Listas!$C$48,"")))</f>
        <v/>
      </c>
      <c r="Y39" s="303" t="str">
        <f>IF(OR(W39=[4]Listas!$F$53,W39=[4]Listas!$F$54),[4]Listas!$G$53,IF(W39=[4]Listas!$F$55,[4]Listas!$G$55,""))</f>
        <v/>
      </c>
      <c r="Z39" s="301"/>
      <c r="AA39" s="143" t="str">
        <f>+IF(Z39=[4]Listas!$E$46,[4]Listas!$F$46,IF(Z39=[4]Listas!$E$47,[4]Listas!$F$47,""))</f>
        <v/>
      </c>
      <c r="AB39" s="144" t="str">
        <f t="shared" si="5"/>
        <v/>
      </c>
      <c r="AC39" s="301"/>
      <c r="AD39" s="301"/>
      <c r="AE39" s="304"/>
      <c r="AF39" s="305" t="str">
        <f t="shared" si="0"/>
        <v>Baja</v>
      </c>
      <c r="AG39" s="145">
        <f>IF(Y39=[4]Listas!$G$53,AG38-(AG38*AB39),AG38)</f>
        <v>0.24</v>
      </c>
      <c r="AH39" s="562"/>
      <c r="AI39" s="305" t="str">
        <f t="shared" si="4"/>
        <v>Menor</v>
      </c>
      <c r="AJ39" s="145">
        <f>IF(Y39=[4]Listas!$G$55,AJ38-(AJ38*AB39),AJ38)</f>
        <v>0.4</v>
      </c>
      <c r="AK39" s="562"/>
      <c r="AL39" s="565"/>
      <c r="AM39" s="565"/>
      <c r="AN39" s="565"/>
      <c r="AO39" s="568"/>
      <c r="AP39" s="631"/>
      <c r="AQ39" s="306"/>
      <c r="AR39" s="117"/>
      <c r="AZ39" s="644"/>
      <c r="BA39" s="168">
        <v>0.6</v>
      </c>
      <c r="BB39" s="164" t="s">
        <v>213</v>
      </c>
      <c r="BC39" s="172" t="s">
        <v>83</v>
      </c>
      <c r="BD39" s="172" t="s">
        <v>83</v>
      </c>
      <c r="BE39" s="172" t="s">
        <v>83</v>
      </c>
      <c r="BF39" s="169" t="s">
        <v>81</v>
      </c>
      <c r="BG39" s="170" t="s">
        <v>77</v>
      </c>
      <c r="BI39" s="175" t="s">
        <v>203</v>
      </c>
      <c r="BJ39" s="158">
        <v>1</v>
      </c>
      <c r="BK39" s="166" t="s">
        <v>221</v>
      </c>
      <c r="BL39" s="167" t="s">
        <v>170</v>
      </c>
      <c r="BN39" s="175" t="s">
        <v>210</v>
      </c>
      <c r="BO39" s="166" t="s">
        <v>222</v>
      </c>
      <c r="BP39" s="161">
        <v>5001</v>
      </c>
      <c r="BQ39" s="161"/>
      <c r="BR39" s="162">
        <v>1</v>
      </c>
    </row>
    <row r="40" spans="2:70" ht="15" hidden="1" customHeight="1" thickTop="1" thickBot="1" x14ac:dyDescent="0.4">
      <c r="B40" s="870"/>
      <c r="C40" s="559"/>
      <c r="D40" s="761"/>
      <c r="E40" s="577"/>
      <c r="F40" s="625"/>
      <c r="G40" s="628"/>
      <c r="H40" s="628"/>
      <c r="I40" s="589"/>
      <c r="J40" s="589"/>
      <c r="K40" s="592"/>
      <c r="L40" s="589"/>
      <c r="M40" s="595"/>
      <c r="N40" s="598"/>
      <c r="O40" s="601"/>
      <c r="P40" s="595"/>
      <c r="Q40" s="604"/>
      <c r="R40" s="601"/>
      <c r="S40" s="283"/>
      <c r="T40" s="604"/>
      <c r="U40" s="142" t="s">
        <v>223</v>
      </c>
      <c r="V40" s="419"/>
      <c r="W40" s="301"/>
      <c r="X40" s="302" t="str">
        <f>IF(W40=[4]Listas!$B$46,[4]Listas!$C$46,IF(W40=[4]Listas!$B$47,[4]Listas!$C$47,IF(W40=[4]Listas!$B$48,[4]Listas!$C$48,"")))</f>
        <v/>
      </c>
      <c r="Y40" s="303" t="str">
        <f>IF(OR(W40=[4]Listas!$F$53,W40=[4]Listas!$F$54),[4]Listas!$G$53,IF(W40=[4]Listas!$F$55,[4]Listas!$G$55,""))</f>
        <v/>
      </c>
      <c r="Z40" s="301"/>
      <c r="AA40" s="143" t="str">
        <f>+IF(Z40=[4]Listas!$E$46,[4]Listas!$F$46,IF(Z40=[4]Listas!$E$47,[4]Listas!$F$47,""))</f>
        <v/>
      </c>
      <c r="AB40" s="144" t="str">
        <f t="shared" si="5"/>
        <v/>
      </c>
      <c r="AC40" s="301"/>
      <c r="AD40" s="301"/>
      <c r="AE40" s="304"/>
      <c r="AF40" s="305" t="str">
        <f t="shared" si="0"/>
        <v>Baja</v>
      </c>
      <c r="AG40" s="145">
        <f>IF(Y40=[4]Listas!$G$53,AG39-(AG39*AB40),AG39)</f>
        <v>0.24</v>
      </c>
      <c r="AH40" s="562"/>
      <c r="AI40" s="305" t="str">
        <f t="shared" si="4"/>
        <v>Menor</v>
      </c>
      <c r="AJ40" s="145">
        <f>IF(Y40=[4]Listas!$G$55,AJ39-(AJ39*AB40),AJ39)</f>
        <v>0.4</v>
      </c>
      <c r="AK40" s="562"/>
      <c r="AL40" s="565"/>
      <c r="AM40" s="565"/>
      <c r="AN40" s="565"/>
      <c r="AO40" s="568"/>
      <c r="AP40" s="631"/>
      <c r="AQ40" s="306"/>
      <c r="AR40" s="117"/>
      <c r="AZ40" s="644"/>
      <c r="BA40" s="168">
        <v>0.4</v>
      </c>
      <c r="BB40" s="164" t="s">
        <v>206</v>
      </c>
      <c r="BC40" s="176" t="s">
        <v>86</v>
      </c>
      <c r="BD40" s="172" t="s">
        <v>83</v>
      </c>
      <c r="BE40" s="172" t="s">
        <v>83</v>
      </c>
      <c r="BF40" s="169" t="s">
        <v>81</v>
      </c>
      <c r="BG40" s="170" t="s">
        <v>77</v>
      </c>
    </row>
    <row r="41" spans="2:70" ht="15.75" hidden="1" customHeight="1" thickTop="1" thickBot="1" x14ac:dyDescent="0.4">
      <c r="B41" s="870"/>
      <c r="C41" s="559"/>
      <c r="D41" s="762"/>
      <c r="E41" s="578"/>
      <c r="F41" s="626"/>
      <c r="G41" s="629"/>
      <c r="H41" s="629"/>
      <c r="I41" s="590"/>
      <c r="J41" s="590"/>
      <c r="K41" s="593"/>
      <c r="L41" s="589"/>
      <c r="M41" s="595"/>
      <c r="N41" s="599"/>
      <c r="O41" s="602"/>
      <c r="P41" s="596"/>
      <c r="Q41" s="605"/>
      <c r="R41" s="602"/>
      <c r="S41" s="284"/>
      <c r="T41" s="605"/>
      <c r="U41" s="142" t="s">
        <v>224</v>
      </c>
      <c r="V41" s="420"/>
      <c r="W41" s="307"/>
      <c r="X41" s="308" t="str">
        <f>IF(W41=[4]Listas!$B$46,[4]Listas!$C$46,IF(W41=[4]Listas!$B$47,[4]Listas!$C$47,IF(W41=[4]Listas!$B$48,[4]Listas!$C$48,"")))</f>
        <v/>
      </c>
      <c r="Y41" s="309" t="str">
        <f>IF(OR(W41=[4]Listas!$F$53,W41=[4]Listas!$F$54),[4]Listas!$G$53,IF(W41=[4]Listas!$F$55,[4]Listas!$G$55,""))</f>
        <v/>
      </c>
      <c r="Z41" s="307"/>
      <c r="AA41" s="177" t="str">
        <f>+IF(Z41=[4]Listas!$E$46,[4]Listas!$F$46,IF(Z41=[4]Listas!$E$47,[4]Listas!$F$47,""))</f>
        <v/>
      </c>
      <c r="AB41" s="178" t="str">
        <f t="shared" si="5"/>
        <v/>
      </c>
      <c r="AC41" s="307"/>
      <c r="AD41" s="307"/>
      <c r="AE41" s="310"/>
      <c r="AF41" s="311" t="str">
        <f t="shared" si="0"/>
        <v>Baja</v>
      </c>
      <c r="AG41" s="179">
        <f>IF(Y41=[4]Listas!$G$53,AG40-(AG40*AB41),AG40)</f>
        <v>0.24</v>
      </c>
      <c r="AH41" s="563"/>
      <c r="AI41" s="311" t="str">
        <f t="shared" si="4"/>
        <v>Menor</v>
      </c>
      <c r="AJ41" s="179">
        <f>IF(Y41=[4]Listas!$G$55,AJ40-(AJ40*AB41),AJ40)</f>
        <v>0.4</v>
      </c>
      <c r="AK41" s="563"/>
      <c r="AL41" s="566"/>
      <c r="AM41" s="566"/>
      <c r="AN41" s="566"/>
      <c r="AO41" s="569"/>
      <c r="AP41" s="632"/>
      <c r="AQ41" s="312"/>
      <c r="AR41" s="180"/>
      <c r="AZ41" s="644"/>
      <c r="BA41" s="168">
        <v>0.2</v>
      </c>
      <c r="BB41" s="164" t="s">
        <v>196</v>
      </c>
      <c r="BC41" s="176" t="s">
        <v>86</v>
      </c>
      <c r="BD41" s="176" t="s">
        <v>86</v>
      </c>
      <c r="BE41" s="172" t="s">
        <v>83</v>
      </c>
      <c r="BF41" s="169" t="s">
        <v>81</v>
      </c>
      <c r="BG41" s="170" t="s">
        <v>77</v>
      </c>
    </row>
    <row r="42" spans="2:70" ht="366" customHeight="1" thickTop="1" thickBot="1" x14ac:dyDescent="0.4">
      <c r="B42" s="870"/>
      <c r="C42" s="559"/>
      <c r="D42" s="760" t="s">
        <v>243</v>
      </c>
      <c r="E42" s="576" t="s">
        <v>4</v>
      </c>
      <c r="F42" s="624" t="s">
        <v>244</v>
      </c>
      <c r="G42" s="627" t="s">
        <v>245</v>
      </c>
      <c r="H42" s="627" t="s">
        <v>246</v>
      </c>
      <c r="I42" s="588" t="s">
        <v>28</v>
      </c>
      <c r="J42" s="588" t="s">
        <v>29</v>
      </c>
      <c r="K42" s="591" t="s">
        <v>238</v>
      </c>
      <c r="L42" s="588" t="s">
        <v>186</v>
      </c>
      <c r="M42" s="594" t="s">
        <v>207</v>
      </c>
      <c r="N42" s="597" t="str">
        <f>+IF(M42="","",IF(M42=$BO$15,$BN$15,IF(M42=$BO$16,$BN$16,IF(M42=$BO$17,$BN$17,IF(M42=$BO$18,$BN$18,IF(M42=$BO$19,$BN$19))))))</f>
        <v>Baja</v>
      </c>
      <c r="O42" s="600">
        <f>+IF(M42="","",IF(M42=$BO$15,$BR$15,IF(M42=$BO$16,$BR$16,IF(M42=$BO$17,$BR$17,IF(M42=$BO$18,$BR$18,IF(M42=$BO$19,$BR$19))))))</f>
        <v>0.4</v>
      </c>
      <c r="P42" s="594" t="s">
        <v>205</v>
      </c>
      <c r="Q42" s="603" t="str">
        <f>+IF(P42="","",IF(P42='[4]Mapa de Calor inherente'!$AF$6,'[4]Mapa de Calor inherente'!$AD$6,IF(P42='[4]Mapa de Calor inherente'!$AF$7,'[4]Mapa de Calor inherente'!$AD$7,IF(P42='[4]Mapa de Calor inherente'!$AF$8,'[4]Mapa de Calor inherente'!$AD$8,IF(P42='[4]Mapa de Calor inherente'!$AF$9,'[4]Mapa de Calor inherente'!$AD$9,IF(P42='[4]Mapa de Calor inherente'!$AF$10,'[4]Mapa de Calor inherente'!$AD$10,IF(P42='[4]Mapa de Calor inherente'!$AG$6,'[4]Mapa de Calor inherente'!$AD$6,IF(P42='[4]Mapa de Calor inherente'!$AG$7,'[4]Mapa de Calor inherente'!$AD$7,IF(P42='[4]Mapa de Calor inherente'!$AG$8,'[4]Mapa de Calor inherente'!$AD$8,IF(P42='[4]Mapa de Calor inherente'!$AG$9,'[4]Mapa de Calor inherente'!$AD$9,IF(P42='[4]Mapa de Calor inherente'!$AG$10,'[4]Mapa de Calor inherente'!$AD$10,IF(P42='[4]Mapa de Calor inherente'!$AD$8,'[4]Mapa de Calor inherente'!$AD$8,IF(P42='[4]Mapa de Calor inherente'!$AD$9,'[4]Mapa de Calor inherente'!$AD$9,IF(P42='[4]Mapa de Calor inherente'!$AD$10,'[4]Mapa de Calor inherente'!$AD$10))))))))))))))</f>
        <v>Menor</v>
      </c>
      <c r="R42" s="600">
        <f>+IF(P42="","",IF(P42='[4]Mapa de Calor inherente'!$AF$6,'[4]Mapa de Calor inherente'!$AE$6,IF(P42='[4]Mapa de Calor inherente'!$AF$7,'[4]Mapa de Calor inherente'!$AE$7,IF(P42='[4]Mapa de Calor inherente'!$AF$8,'[4]Mapa de Calor inherente'!$AE$8,IF(P42='[4]Mapa de Calor inherente'!$AF$9,'[4]Mapa de Calor inherente'!$AE$9,IF(P42='[4]Mapa de Calor inherente'!$AF$10,'[4]Mapa de Calor inherente'!$AE$10,IF(P42='[4]Mapa de Calor inherente'!$AG$6,'[4]Mapa de Calor inherente'!$AE$6,IF(P42='[4]Mapa de Calor inherente'!$AG$7,'[4]Mapa de Calor inherente'!$AE$7,IF(P42='[4]Mapa de Calor inherente'!$AG$8,'[4]Mapa de Calor inherente'!$AE$8,IF(P42='[4]Mapa de Calor inherente'!$AG$9,'[4]Mapa de Calor inherente'!$AE$9,IF(P42='[4]Mapa de Calor inherente'!$AG$10,'[4]Mapa de Calor inherente'!$AE$10,IF(P42='[4]Mapa de Calor inherente'!$AD$8,'[4]Mapa de Calor inherente'!$AE$8,IF(P42='[4]Mapa de Calor inherente'!$AD$9,'[4]Mapa de Calor inherente'!$AE$9,IF(P42='[4]Mapa de Calor inherente'!$AD$10,'[4]Mapa de Calor inherente'!$AE$10))))))))))))))</f>
        <v>0.4</v>
      </c>
      <c r="S42" s="285"/>
      <c r="T42" s="606" t="str">
        <f>+IF(N42=$BB$17,IF(Q42=$BC$16,$BC$17,IF(Q42=$BD$16,$BD$17,IF(Q42=$BE$16,$BE$17,IF(Q42=$BF$16,$BF$17,IF(Q42=$BG$16,$BG$17))))),IF(N42=$BB$18,IF(Q42=$BC$16,$BC$18,IF(Q42=$BD$16,$BD$18,IF(Q42=$BE$16,$BE$18,IF(Q42=$BF$16,$BF$18,IF(Q42=$BG$16,$BG$18))))),IF(N42=$BB$19,IF(Q42=$BC$16,$BC$19,IF(Q42=$BD$16,$BD$19,IF(Q42=$BE$16,$BE$19,IF(Q42=$BF$16,$BF$19,IF(Q42=$BG$16,$BG$19))))),IF(N42=$BB$20,IF(Q42=$BC$16,$BC$20,IF(Q42=$BD$16,$BD$20,IF(Q42=$BE$16,$BE$20,IF(Q42=$BF$16,$BF$20,IF(Q42=$BG$16,$BG$20))))),IF(N42=$BB$21,IF(Q42=$BC$16,$BC$21,IF(Q42=$BD$16,$BD$21,IF(Q42=$BE$16,$BE$21,IF(Q42=$BF$16,$BF$21,IF(Q42=$BG$16,$BG$21))))),"")))))</f>
        <v>Moderado</v>
      </c>
      <c r="U42" s="139" t="s">
        <v>171</v>
      </c>
      <c r="V42" s="417" t="s">
        <v>247</v>
      </c>
      <c r="W42" s="313" t="s">
        <v>40</v>
      </c>
      <c r="X42" s="314">
        <f>IF(W42=[4]Listas!$B$46,[4]Listas!$C$46,IF(W42=[4]Listas!$B$47,[4]Listas!$C$47,IF(W42=[4]Listas!$B$48,[4]Listas!$C$48,"")))</f>
        <v>0.25</v>
      </c>
      <c r="Y42" s="315" t="str">
        <f>IF(OR(W42=[4]Listas!$F$53,W42=[4]Listas!$F$54),[4]Listas!$G$53,IF(W42=[4]Listas!$F$55,[4]Listas!$G$55,""))</f>
        <v>Probabilidad</v>
      </c>
      <c r="Z42" s="313" t="s">
        <v>43</v>
      </c>
      <c r="AA42" s="314">
        <f>+IF(Z42=[4]Listas!$E$46,[4]Listas!$F$46,IF(Z42=[4]Listas!$E$47,[4]Listas!$F$47,""))</f>
        <v>0.15</v>
      </c>
      <c r="AB42" s="181">
        <f>IFERROR(X42+AA42,"")</f>
        <v>0.4</v>
      </c>
      <c r="AC42" s="313" t="s">
        <v>57</v>
      </c>
      <c r="AD42" s="316" t="s">
        <v>58</v>
      </c>
      <c r="AE42" s="317" t="s">
        <v>59</v>
      </c>
      <c r="AF42" s="299" t="str">
        <f t="shared" si="0"/>
        <v>Baja</v>
      </c>
      <c r="AG42" s="141">
        <f>IF(Y42=[4]Listas!$G$53,O42-(O42*AB42),O42)</f>
        <v>0.24</v>
      </c>
      <c r="AH42" s="561">
        <f>+IF(AG51="","",AG51)</f>
        <v>0.24</v>
      </c>
      <c r="AI42" s="299" t="str">
        <f>IF(AJ42="","",IF(AJ42&lt;=20%,"Leve",IF(AJ42&lt;=40%,"Menor",IF(AJ42&lt;=60%,"Moderado",IF(AJ42&lt;=80%,"Mayor","Catastrófico")))))</f>
        <v>Menor</v>
      </c>
      <c r="AJ42" s="141">
        <f>IF(Y42=[4]Listas!$G$55,R42-(R42*AB42),R42)</f>
        <v>0.4</v>
      </c>
      <c r="AK42" s="561">
        <f>+IF(AJ51="","",AJ51)</f>
        <v>0.4</v>
      </c>
      <c r="AL42" s="564" t="str">
        <f>+IF(AH42=0,"",IF(AH42&lt;=$BA$21,$BB$21,IF(AH42&lt;=$BA$20,$BB$20,IF(AH42&lt;=$BA$19,$BB$19,IF(AH42&lt;=$BA$18,$BB$18,IF(AH42&lt;=$BA$17,$BB$17,""))))))</f>
        <v>Baja</v>
      </c>
      <c r="AM42" s="564" t="str">
        <f>+IF(AK42=0,"",IF(AK42&lt;=$BC$15,$BC$16,IF(AK42&lt;=$BD$15,$BD$16,IF(AK42&lt;=$BE$15,$BE$16,IF(AK42&lt;=$BF$15,$BF$16,IF(AK42&lt;=$BG$15,$BG$16,""))))))</f>
        <v>Menor</v>
      </c>
      <c r="AN42" s="564" t="str">
        <f>IF(AL42=$BB$17,IF(AM42=$BC$16,$BC$17,IF(AM42=$BD$16,$BD$17,IF(AM42=$BE$16,$BE$17,IF(AM42=$BF$16,$BF$17,IF(AM42=$BG$16,$BG$17))))),IF(AL42=$BB$18,IF(AM42=$BC$16,$BC$18,IF(AM42=$BD$16,$BD$18,IF(AM42=$BE$16,$BE$18,IF(AM42=$BF$16,$BF$18,IF(AM42=$BG$16,$BG$18))))),IF(AL42=$BB$19,IF(AM42=$BC$16,$BC$19,IF(AM42=$BD$16,$BD$19,IF(AM42=$BE$16,$BE$19,IF(AM42=$BF$16,$BF$19,IF(AM42=$BG$16,$BG$19))))),IF(AL42=$BB$20,IF(AM42=$BC$16,$BC$20,IF(AM42=$BD$16,$BD$20,IF(AM42=$BE$16,$BE$20,IF(AM42=$BF$16,$BF$20,IF(AM42=$BG$16,$BG$20))))),IF(AL42=$BB$21,IF(AM42=$BC$16,$BC$21,IF(AM42=$BD$16,$BD$21,IF(AM42=$BE$16,$BE$21,IF(AM42=$BF$16,$BF$21,IF(AM42=$BG$16,$BG$21))))),"")))))</f>
        <v>Moderado</v>
      </c>
      <c r="AO42" s="567" t="str">
        <f>IF(AP42="","",IF(AP42=[4]Listas!$F$61,[4]Listas!$G$61,IF(AP42=[4]Listas!$F$63,[4]Listas!$G$63,IF(AP42=[4]Listas!$F$64,[4]Listas!$G$64))))</f>
        <v>Requiere Plan de Acción</v>
      </c>
      <c r="AP42" s="570" t="str">
        <f>IF(AN42="","",IF(OR(AN42=[4]Listas!$E$61,AN42=[4]Listas!$E$62),[4]Listas!$F$61,IF(AN42=[4]Listas!$E$63,[4]Listas!$F$63,IF(AN42=[4]Listas!$E$64,[4]Listas!$F$64))))</f>
        <v>Aceptar o reducir el riesgo</v>
      </c>
      <c r="AQ42" s="318" t="s">
        <v>80</v>
      </c>
      <c r="AR42" s="189" t="s">
        <v>248</v>
      </c>
    </row>
    <row r="43" spans="2:70" ht="138" customHeight="1" thickTop="1" thickBot="1" x14ac:dyDescent="0.4">
      <c r="B43" s="870"/>
      <c r="C43" s="559"/>
      <c r="D43" s="761"/>
      <c r="E43" s="577"/>
      <c r="F43" s="625"/>
      <c r="G43" s="628"/>
      <c r="H43" s="628"/>
      <c r="I43" s="589"/>
      <c r="J43" s="589"/>
      <c r="K43" s="592"/>
      <c r="L43" s="589"/>
      <c r="M43" s="595"/>
      <c r="N43" s="598"/>
      <c r="O43" s="601"/>
      <c r="P43" s="595"/>
      <c r="Q43" s="604"/>
      <c r="R43" s="601"/>
      <c r="S43" s="286"/>
      <c r="T43" s="607"/>
      <c r="U43" s="142" t="s">
        <v>174</v>
      </c>
      <c r="V43" s="415"/>
      <c r="W43" s="319"/>
      <c r="X43" s="320" t="str">
        <f>IF(W43=[4]Listas!$B$46,[4]Listas!$C$46,IF(W43=[4]Listas!$B$47,[4]Listas!$C$47,IF(W43=[4]Listas!$B$48,[4]Listas!$C$48,"")))</f>
        <v/>
      </c>
      <c r="Y43" s="321" t="str">
        <f>IF(OR(W43=[4]Listas!$F$53,W43=[4]Listas!$F$54),[4]Listas!$G$53,IF(W43=[4]Listas!$F$55,[4]Listas!$G$55,""))</f>
        <v/>
      </c>
      <c r="Z43" s="319"/>
      <c r="AA43" s="182" t="str">
        <f>+IF(Z43=[4]Listas!$E$46,[4]Listas!$F$46,IF(Z43=[4]Listas!$E$47,[4]Listas!$F$47,""))</f>
        <v/>
      </c>
      <c r="AB43" s="183" t="str">
        <f>IFERROR(X43+AA43,"")</f>
        <v/>
      </c>
      <c r="AC43" s="319"/>
      <c r="AD43" s="322"/>
      <c r="AE43" s="323"/>
      <c r="AF43" s="305" t="str">
        <f t="shared" si="0"/>
        <v>Baja</v>
      </c>
      <c r="AG43" s="145">
        <f>IF(Y43=[4]Listas!$G$53,AG42-(AG42*AB43),AG42)</f>
        <v>0.24</v>
      </c>
      <c r="AH43" s="562"/>
      <c r="AI43" s="305" t="str">
        <f t="shared" si="4"/>
        <v>Menor</v>
      </c>
      <c r="AJ43" s="145">
        <f>IF(Y43=[4]Listas!$G$55,AJ42-(AJ42*AB43),AJ42)</f>
        <v>0.4</v>
      </c>
      <c r="AK43" s="562"/>
      <c r="AL43" s="565"/>
      <c r="AM43" s="565"/>
      <c r="AN43" s="565"/>
      <c r="AO43" s="568"/>
      <c r="AP43" s="571"/>
      <c r="AQ43" s="306" t="s">
        <v>80</v>
      </c>
      <c r="AR43" s="190" t="s">
        <v>249</v>
      </c>
    </row>
    <row r="44" spans="2:70" ht="208.5" customHeight="1" thickTop="1" thickBot="1" x14ac:dyDescent="0.4">
      <c r="B44" s="870"/>
      <c r="C44" s="559"/>
      <c r="D44" s="761"/>
      <c r="E44" s="577"/>
      <c r="F44" s="625"/>
      <c r="G44" s="628"/>
      <c r="H44" s="628"/>
      <c r="I44" s="589"/>
      <c r="J44" s="589"/>
      <c r="K44" s="592"/>
      <c r="L44" s="589"/>
      <c r="M44" s="595"/>
      <c r="N44" s="598"/>
      <c r="O44" s="601"/>
      <c r="P44" s="595"/>
      <c r="Q44" s="604"/>
      <c r="R44" s="601"/>
      <c r="S44" s="287"/>
      <c r="T44" s="607"/>
      <c r="U44" s="142" t="s">
        <v>180</v>
      </c>
      <c r="V44" s="415"/>
      <c r="W44" s="319"/>
      <c r="X44" s="320" t="str">
        <f>IF(W44=[4]Listas!$B$46,[4]Listas!$C$46,IF(W44=[4]Listas!$B$47,[4]Listas!$C$47,IF(W44=[4]Listas!$B$48,[4]Listas!$C$48,"")))</f>
        <v/>
      </c>
      <c r="Y44" s="321" t="str">
        <f>IF(OR(W44=[4]Listas!$F$53,W44=[4]Listas!$F$54),[4]Listas!$G$53,IF(W44=[4]Listas!$F$55,[4]Listas!$G$55,""))</f>
        <v/>
      </c>
      <c r="Z44" s="319"/>
      <c r="AA44" s="182" t="str">
        <f>+IF(Z44=[4]Listas!$E$46,[4]Listas!$F$46,IF(Z44=[4]Listas!$E$47,[4]Listas!$F$47,""))</f>
        <v/>
      </c>
      <c r="AB44" s="183" t="str">
        <f>IFERROR(X44+AA44,"")</f>
        <v/>
      </c>
      <c r="AC44" s="325"/>
      <c r="AD44" s="326"/>
      <c r="AE44" s="327"/>
      <c r="AF44" s="305" t="str">
        <f t="shared" si="0"/>
        <v>Baja</v>
      </c>
      <c r="AG44" s="145">
        <f>IF(Y44=[4]Listas!$G$53,AG43-(AG43*AB44),AG43)</f>
        <v>0.24</v>
      </c>
      <c r="AH44" s="562"/>
      <c r="AI44" s="305" t="str">
        <f t="shared" si="4"/>
        <v>Menor</v>
      </c>
      <c r="AJ44" s="145">
        <f>IF(Y44=[4]Listas!$G$55,AJ43-(AJ43*AB44),AJ43)</f>
        <v>0.4</v>
      </c>
      <c r="AK44" s="562"/>
      <c r="AL44" s="565"/>
      <c r="AM44" s="565"/>
      <c r="AN44" s="565"/>
      <c r="AO44" s="568"/>
      <c r="AP44" s="571"/>
      <c r="AQ44" s="306" t="s">
        <v>80</v>
      </c>
      <c r="AR44" s="190" t="s">
        <v>242</v>
      </c>
    </row>
    <row r="45" spans="2:70" ht="15" hidden="1" customHeight="1" thickTop="1" thickBot="1" x14ac:dyDescent="0.4">
      <c r="B45" s="870"/>
      <c r="C45" s="559"/>
      <c r="D45" s="761"/>
      <c r="E45" s="577"/>
      <c r="F45" s="625"/>
      <c r="G45" s="628"/>
      <c r="H45" s="628"/>
      <c r="I45" s="589"/>
      <c r="J45" s="589"/>
      <c r="K45" s="592"/>
      <c r="L45" s="589"/>
      <c r="M45" s="595"/>
      <c r="N45" s="598"/>
      <c r="O45" s="601"/>
      <c r="P45" s="595"/>
      <c r="Q45" s="604"/>
      <c r="R45" s="601"/>
      <c r="S45" s="287"/>
      <c r="T45" s="607"/>
      <c r="U45" s="142" t="s">
        <v>190</v>
      </c>
      <c r="V45" s="415"/>
      <c r="W45" s="319"/>
      <c r="X45" s="320" t="str">
        <f>IF(W45=[4]Listas!$B$46,[4]Listas!$C$46,IF(W45=[4]Listas!$B$47,[4]Listas!$C$47,IF(W45=[4]Listas!$B$48,[4]Listas!$C$48,"")))</f>
        <v/>
      </c>
      <c r="Y45" s="321" t="str">
        <f>IF(OR(W45=[4]Listas!$F$53,W45=[4]Listas!$F$54),[4]Listas!$G$53,IF(W45=[4]Listas!$F$55,[4]Listas!$G$55,""))</f>
        <v/>
      </c>
      <c r="Z45" s="319"/>
      <c r="AA45" s="182" t="str">
        <f>+IF(Z45=[4]Listas!$E$46,[4]Listas!$F$46,IF(Z45=[4]Listas!$E$47,[4]Listas!$F$47,""))</f>
        <v/>
      </c>
      <c r="AB45" s="183" t="str">
        <f t="shared" ref="AB45:AB51" si="6">IFERROR(X45+AA45,"")</f>
        <v/>
      </c>
      <c r="AC45" s="328"/>
      <c r="AD45" s="329"/>
      <c r="AE45" s="330"/>
      <c r="AF45" s="305" t="str">
        <f t="shared" si="0"/>
        <v>Baja</v>
      </c>
      <c r="AG45" s="145">
        <f>IF(Y45=[4]Listas!$G$53,AG44-(AG44*AB45),AG44)</f>
        <v>0.24</v>
      </c>
      <c r="AH45" s="562"/>
      <c r="AI45" s="305" t="str">
        <f t="shared" si="4"/>
        <v>Menor</v>
      </c>
      <c r="AJ45" s="145">
        <f>IF(Y45=[4]Listas!$G$55,AJ44-(AJ44*AB45),AJ44)</f>
        <v>0.4</v>
      </c>
      <c r="AK45" s="562"/>
      <c r="AL45" s="565"/>
      <c r="AM45" s="565"/>
      <c r="AN45" s="565"/>
      <c r="AO45" s="568"/>
      <c r="AP45" s="571"/>
      <c r="AQ45" s="324"/>
      <c r="AR45" s="185"/>
    </row>
    <row r="46" spans="2:70" ht="15" hidden="1" customHeight="1" thickTop="1" thickBot="1" x14ac:dyDescent="0.4">
      <c r="B46" s="870"/>
      <c r="C46" s="559"/>
      <c r="D46" s="761"/>
      <c r="E46" s="577"/>
      <c r="F46" s="625"/>
      <c r="G46" s="628"/>
      <c r="H46" s="628"/>
      <c r="I46" s="589"/>
      <c r="J46" s="589"/>
      <c r="K46" s="592"/>
      <c r="L46" s="589"/>
      <c r="M46" s="595"/>
      <c r="N46" s="598"/>
      <c r="O46" s="601"/>
      <c r="P46" s="595"/>
      <c r="Q46" s="604"/>
      <c r="R46" s="601"/>
      <c r="S46" s="287"/>
      <c r="T46" s="607"/>
      <c r="U46" s="142" t="s">
        <v>198</v>
      </c>
      <c r="V46" s="415"/>
      <c r="W46" s="331"/>
      <c r="X46" s="320" t="str">
        <f>IF(W46=[4]Listas!$B$46,[4]Listas!$C$46,IF(W46=[4]Listas!$B$47,[4]Listas!$C$47,IF(W46=[4]Listas!$B$48,[4]Listas!$C$48,"")))</f>
        <v/>
      </c>
      <c r="Y46" s="321" t="str">
        <f>IF(OR(W46=[4]Listas!$F$53,W46=[4]Listas!$F$54),[4]Listas!$G$53,IF(W46=[4]Listas!$F$55,[4]Listas!$G$55,""))</f>
        <v/>
      </c>
      <c r="Z46" s="331"/>
      <c r="AA46" s="182" t="str">
        <f>+IF(Z46=[4]Listas!$E$46,[4]Listas!$F$46,IF(Z46=[4]Listas!$E$47,[4]Listas!$F$47,""))</f>
        <v/>
      </c>
      <c r="AB46" s="183" t="str">
        <f t="shared" si="6"/>
        <v/>
      </c>
      <c r="AC46" s="319"/>
      <c r="AD46" s="322"/>
      <c r="AE46" s="323"/>
      <c r="AF46" s="305" t="str">
        <f t="shared" si="0"/>
        <v>Baja</v>
      </c>
      <c r="AG46" s="145">
        <f>IF(Y46=[4]Listas!$G$53,AG45-(AG45*AB46),AG45)</f>
        <v>0.24</v>
      </c>
      <c r="AH46" s="562"/>
      <c r="AI46" s="305" t="str">
        <f t="shared" si="4"/>
        <v>Menor</v>
      </c>
      <c r="AJ46" s="145">
        <f>IF(Y46=[4]Listas!$G$55,AJ45-(AJ45*AB46),AJ45)</f>
        <v>0.4</v>
      </c>
      <c r="AK46" s="562"/>
      <c r="AL46" s="565"/>
      <c r="AM46" s="565"/>
      <c r="AN46" s="565"/>
      <c r="AO46" s="568"/>
      <c r="AP46" s="571"/>
      <c r="AQ46" s="324"/>
      <c r="AR46" s="185"/>
    </row>
    <row r="47" spans="2:70" ht="15.75" hidden="1" customHeight="1" thickTop="1" thickBot="1" x14ac:dyDescent="0.4">
      <c r="B47" s="870"/>
      <c r="C47" s="559"/>
      <c r="D47" s="761"/>
      <c r="E47" s="577"/>
      <c r="F47" s="625"/>
      <c r="G47" s="628"/>
      <c r="H47" s="628"/>
      <c r="I47" s="589"/>
      <c r="J47" s="589"/>
      <c r="K47" s="592"/>
      <c r="L47" s="589"/>
      <c r="M47" s="595"/>
      <c r="N47" s="598"/>
      <c r="O47" s="601"/>
      <c r="P47" s="595"/>
      <c r="Q47" s="604"/>
      <c r="R47" s="601"/>
      <c r="S47" s="288"/>
      <c r="T47" s="607"/>
      <c r="U47" s="142" t="s">
        <v>208</v>
      </c>
      <c r="V47" s="415"/>
      <c r="W47" s="331"/>
      <c r="X47" s="320" t="str">
        <f>IF(W47=[4]Listas!$B$46,[4]Listas!$C$46,IF(W47=[4]Listas!$B$47,[4]Listas!$C$47,IF(W47=[4]Listas!$B$48,[4]Listas!$C$48,"")))</f>
        <v/>
      </c>
      <c r="Y47" s="321" t="str">
        <f>IF(OR(W47=[4]Listas!$F$53,W47=[4]Listas!$F$54),[4]Listas!$G$53,IF(W47=[4]Listas!$F$55,[4]Listas!$G$55,""))</f>
        <v/>
      </c>
      <c r="Z47" s="331"/>
      <c r="AA47" s="182" t="str">
        <f>+IF(Z47=[4]Listas!$E$46,[4]Listas!$F$46,IF(Z47=[4]Listas!$E$47,[4]Listas!$F$47,""))</f>
        <v/>
      </c>
      <c r="AB47" s="183" t="str">
        <f t="shared" si="6"/>
        <v/>
      </c>
      <c r="AC47" s="319"/>
      <c r="AD47" s="322"/>
      <c r="AE47" s="323"/>
      <c r="AF47" s="305" t="str">
        <f t="shared" si="0"/>
        <v>Baja</v>
      </c>
      <c r="AG47" s="145">
        <f>IF(Y47=[4]Listas!$G$53,AG46-(AG46*AB47),AG46)</f>
        <v>0.24</v>
      </c>
      <c r="AH47" s="562"/>
      <c r="AI47" s="305" t="str">
        <f t="shared" si="4"/>
        <v>Menor</v>
      </c>
      <c r="AJ47" s="145">
        <f>IF(Y47=[4]Listas!$G$55,AJ46-(AJ46*AB47),AJ46)</f>
        <v>0.4</v>
      </c>
      <c r="AK47" s="562"/>
      <c r="AL47" s="565"/>
      <c r="AM47" s="565"/>
      <c r="AN47" s="565"/>
      <c r="AO47" s="568"/>
      <c r="AP47" s="571"/>
      <c r="AQ47" s="332"/>
      <c r="AR47" s="185"/>
    </row>
    <row r="48" spans="2:70" ht="15" hidden="1" customHeight="1" thickTop="1" thickBot="1" x14ac:dyDescent="0.4">
      <c r="B48" s="870"/>
      <c r="C48" s="559"/>
      <c r="D48" s="761"/>
      <c r="E48" s="577"/>
      <c r="F48" s="625"/>
      <c r="G48" s="628"/>
      <c r="H48" s="628"/>
      <c r="I48" s="589"/>
      <c r="J48" s="589"/>
      <c r="K48" s="592"/>
      <c r="L48" s="589"/>
      <c r="M48" s="595"/>
      <c r="N48" s="598"/>
      <c r="O48" s="601"/>
      <c r="P48" s="595"/>
      <c r="Q48" s="604"/>
      <c r="R48" s="601"/>
      <c r="S48" s="289"/>
      <c r="T48" s="607"/>
      <c r="U48" s="142" t="s">
        <v>215</v>
      </c>
      <c r="V48" s="415"/>
      <c r="W48" s="331"/>
      <c r="X48" s="320" t="str">
        <f>IF(W48=[4]Listas!$B$46,[4]Listas!$C$46,IF(W48=[4]Listas!$B$47,[4]Listas!$C$47,IF(W48=[4]Listas!$B$48,[4]Listas!$C$48,"")))</f>
        <v/>
      </c>
      <c r="Y48" s="321" t="str">
        <f>IF(OR(W48=[4]Listas!$F$53,W48=[4]Listas!$F$54),[4]Listas!$G$53,IF(W48=[4]Listas!$F$55,[4]Listas!$G$55,""))</f>
        <v/>
      </c>
      <c r="Z48" s="331"/>
      <c r="AA48" s="182" t="str">
        <f>+IF(Z48=[4]Listas!$E$46,[4]Listas!$F$46,IF(Z48=[4]Listas!$E$47,[4]Listas!$F$47,""))</f>
        <v/>
      </c>
      <c r="AB48" s="183" t="str">
        <f t="shared" si="6"/>
        <v/>
      </c>
      <c r="AC48" s="319"/>
      <c r="AD48" s="322"/>
      <c r="AE48" s="323"/>
      <c r="AF48" s="305" t="str">
        <f t="shared" si="0"/>
        <v>Baja</v>
      </c>
      <c r="AG48" s="145">
        <f>IF(Y48=[4]Listas!$G$53,AG47-(AG47*AB48),AG47)</f>
        <v>0.24</v>
      </c>
      <c r="AH48" s="562"/>
      <c r="AI48" s="305" t="str">
        <f t="shared" si="4"/>
        <v>Menor</v>
      </c>
      <c r="AJ48" s="145">
        <f>IF(Y48=[4]Listas!$G$55,AJ47-(AJ47*AB48),AJ47)</f>
        <v>0.4</v>
      </c>
      <c r="AK48" s="562"/>
      <c r="AL48" s="565"/>
      <c r="AM48" s="565"/>
      <c r="AN48" s="565"/>
      <c r="AO48" s="568"/>
      <c r="AP48" s="571"/>
      <c r="AQ48" s="333"/>
      <c r="AR48" s="185"/>
    </row>
    <row r="49" spans="2:44" ht="15" hidden="1" customHeight="1" thickTop="1" thickBot="1" x14ac:dyDescent="0.4">
      <c r="B49" s="870"/>
      <c r="C49" s="559"/>
      <c r="D49" s="761"/>
      <c r="E49" s="577"/>
      <c r="F49" s="625"/>
      <c r="G49" s="628"/>
      <c r="H49" s="628"/>
      <c r="I49" s="589"/>
      <c r="J49" s="589"/>
      <c r="K49" s="592"/>
      <c r="L49" s="589"/>
      <c r="M49" s="595"/>
      <c r="N49" s="598"/>
      <c r="O49" s="601"/>
      <c r="P49" s="595"/>
      <c r="Q49" s="604"/>
      <c r="R49" s="601"/>
      <c r="S49" s="289"/>
      <c r="T49" s="607"/>
      <c r="U49" s="142" t="s">
        <v>220</v>
      </c>
      <c r="V49" s="415"/>
      <c r="W49" s="331"/>
      <c r="X49" s="320" t="str">
        <f>IF(W49=[4]Listas!$B$46,[4]Listas!$C$46,IF(W49=[4]Listas!$B$47,[4]Listas!$C$47,IF(W49=[4]Listas!$B$48,[4]Listas!$C$48,"")))</f>
        <v/>
      </c>
      <c r="Y49" s="321" t="str">
        <f>IF(OR(W49=[4]Listas!$F$53,W49=[4]Listas!$F$54),[4]Listas!$G$53,IF(W49=[4]Listas!$F$55,[4]Listas!$G$55,""))</f>
        <v/>
      </c>
      <c r="Z49" s="331"/>
      <c r="AA49" s="182" t="str">
        <f>+IF(Z49=[4]Listas!$E$46,[4]Listas!$F$46,IF(Z49=[4]Listas!$E$47,[4]Listas!$F$47,""))</f>
        <v/>
      </c>
      <c r="AB49" s="183" t="str">
        <f t="shared" si="6"/>
        <v/>
      </c>
      <c r="AC49" s="319"/>
      <c r="AD49" s="322"/>
      <c r="AE49" s="323"/>
      <c r="AF49" s="305" t="str">
        <f t="shared" si="0"/>
        <v>Baja</v>
      </c>
      <c r="AG49" s="145">
        <f>IF(Y49=[4]Listas!$G$53,AG48-(AG48*AB49),AG48)</f>
        <v>0.24</v>
      </c>
      <c r="AH49" s="562"/>
      <c r="AI49" s="305" t="str">
        <f t="shared" si="4"/>
        <v>Menor</v>
      </c>
      <c r="AJ49" s="145">
        <f>IF(Y49=[4]Listas!$G$55,AJ48-(AJ48*AB49),AJ48)</f>
        <v>0.4</v>
      </c>
      <c r="AK49" s="562"/>
      <c r="AL49" s="565"/>
      <c r="AM49" s="565"/>
      <c r="AN49" s="565"/>
      <c r="AO49" s="568"/>
      <c r="AP49" s="571"/>
      <c r="AQ49" s="334"/>
      <c r="AR49" s="185"/>
    </row>
    <row r="50" spans="2:44" ht="15" hidden="1" customHeight="1" thickTop="1" thickBot="1" x14ac:dyDescent="0.4">
      <c r="B50" s="870"/>
      <c r="C50" s="559"/>
      <c r="D50" s="761"/>
      <c r="E50" s="577"/>
      <c r="F50" s="625"/>
      <c r="G50" s="628"/>
      <c r="H50" s="628"/>
      <c r="I50" s="589"/>
      <c r="J50" s="589"/>
      <c r="K50" s="592"/>
      <c r="L50" s="589"/>
      <c r="M50" s="595"/>
      <c r="N50" s="598"/>
      <c r="O50" s="601"/>
      <c r="P50" s="595"/>
      <c r="Q50" s="604"/>
      <c r="R50" s="601"/>
      <c r="S50" s="289"/>
      <c r="T50" s="607"/>
      <c r="U50" s="142" t="s">
        <v>223</v>
      </c>
      <c r="V50" s="415"/>
      <c r="W50" s="331"/>
      <c r="X50" s="320" t="str">
        <f>IF(W50=[4]Listas!$B$46,[4]Listas!$C$46,IF(W50=[4]Listas!$B$47,[4]Listas!$C$47,IF(W50=[4]Listas!$B$48,[4]Listas!$C$48,"")))</f>
        <v/>
      </c>
      <c r="Y50" s="321" t="str">
        <f>IF(OR(W50=[4]Listas!$F$53,W50=[4]Listas!$F$54),[4]Listas!$G$53,IF(W50=[4]Listas!$F$55,[4]Listas!$G$55,""))</f>
        <v/>
      </c>
      <c r="Z50" s="331"/>
      <c r="AA50" s="182" t="str">
        <f>+IF(Z50=[4]Listas!$E$46,[4]Listas!$F$46,IF(Z50=[4]Listas!$E$47,[4]Listas!$F$47,""))</f>
        <v/>
      </c>
      <c r="AB50" s="183" t="str">
        <f t="shared" si="6"/>
        <v/>
      </c>
      <c r="AC50" s="319"/>
      <c r="AD50" s="322"/>
      <c r="AE50" s="323"/>
      <c r="AF50" s="305" t="str">
        <f t="shared" si="0"/>
        <v>Baja</v>
      </c>
      <c r="AG50" s="145">
        <f>IF(Y50=[4]Listas!$G$53,AG49-(AG49*AB50),AG49)</f>
        <v>0.24</v>
      </c>
      <c r="AH50" s="562"/>
      <c r="AI50" s="305" t="str">
        <f t="shared" si="4"/>
        <v>Menor</v>
      </c>
      <c r="AJ50" s="145">
        <f>IF(Y50=[4]Listas!$G$55,AJ49-(AJ49*AB50),AJ49)</f>
        <v>0.4</v>
      </c>
      <c r="AK50" s="562"/>
      <c r="AL50" s="565"/>
      <c r="AM50" s="565"/>
      <c r="AN50" s="565"/>
      <c r="AO50" s="568"/>
      <c r="AP50" s="571"/>
      <c r="AQ50" s="324"/>
      <c r="AR50" s="185"/>
    </row>
    <row r="51" spans="2:44" ht="15.75" hidden="1" customHeight="1" thickTop="1" thickBot="1" x14ac:dyDescent="0.4">
      <c r="B51" s="870"/>
      <c r="C51" s="559"/>
      <c r="D51" s="762"/>
      <c r="E51" s="578"/>
      <c r="F51" s="626"/>
      <c r="G51" s="629"/>
      <c r="H51" s="629"/>
      <c r="I51" s="590"/>
      <c r="J51" s="590"/>
      <c r="K51" s="593"/>
      <c r="L51" s="589"/>
      <c r="M51" s="595"/>
      <c r="N51" s="599"/>
      <c r="O51" s="602"/>
      <c r="P51" s="596"/>
      <c r="Q51" s="605"/>
      <c r="R51" s="602"/>
      <c r="S51" s="290"/>
      <c r="T51" s="608"/>
      <c r="U51" s="142" t="s">
        <v>224</v>
      </c>
      <c r="V51" s="416"/>
      <c r="W51" s="335"/>
      <c r="X51" s="336" t="str">
        <f>IF(W51=[4]Listas!$B$46,[4]Listas!$C$46,IF(W51=[4]Listas!$B$47,[4]Listas!$C$47,IF(W51=[4]Listas!$B$48,[4]Listas!$C$48,"")))</f>
        <v/>
      </c>
      <c r="Y51" s="337" t="str">
        <f>IF(OR(W51=[4]Listas!$F$53,W51=[4]Listas!$F$54),[4]Listas!$G$53,IF(W51=[4]Listas!$F$55,[4]Listas!$G$55,""))</f>
        <v/>
      </c>
      <c r="Z51" s="335"/>
      <c r="AA51" s="186" t="str">
        <f>+IF(Z51=[4]Listas!$E$46,[4]Listas!$F$46,IF(Z51=[4]Listas!$E$47,[4]Listas!$F$47,""))</f>
        <v/>
      </c>
      <c r="AB51" s="187" t="str">
        <f t="shared" si="6"/>
        <v/>
      </c>
      <c r="AC51" s="338"/>
      <c r="AD51" s="339"/>
      <c r="AE51" s="340"/>
      <c r="AF51" s="311" t="str">
        <f t="shared" si="0"/>
        <v>Baja</v>
      </c>
      <c r="AG51" s="179">
        <f>IF(Y51=[4]Listas!$G$53,AG50-(AG50*AB51),AG50)</f>
        <v>0.24</v>
      </c>
      <c r="AH51" s="563"/>
      <c r="AI51" s="311" t="str">
        <f t="shared" si="4"/>
        <v>Menor</v>
      </c>
      <c r="AJ51" s="179">
        <f>IF(Y51=[4]Listas!$G$55,AJ50-(AJ50*AB51),AJ50)</f>
        <v>0.4</v>
      </c>
      <c r="AK51" s="563"/>
      <c r="AL51" s="566"/>
      <c r="AM51" s="566"/>
      <c r="AN51" s="566"/>
      <c r="AO51" s="569"/>
      <c r="AP51" s="572"/>
      <c r="AQ51" s="341"/>
      <c r="AR51" s="188"/>
    </row>
    <row r="52" spans="2:44" ht="299.25" customHeight="1" thickTop="1" thickBot="1" x14ac:dyDescent="0.4">
      <c r="B52" s="870"/>
      <c r="C52" s="559"/>
      <c r="D52" s="809" t="s">
        <v>250</v>
      </c>
      <c r="E52" s="576" t="s">
        <v>4</v>
      </c>
      <c r="F52" s="624" t="s">
        <v>251</v>
      </c>
      <c r="G52" s="627" t="s">
        <v>252</v>
      </c>
      <c r="H52" s="627" t="s">
        <v>253</v>
      </c>
      <c r="I52" s="588" t="s">
        <v>28</v>
      </c>
      <c r="J52" s="588" t="s">
        <v>29</v>
      </c>
      <c r="K52" s="591" t="s">
        <v>238</v>
      </c>
      <c r="L52" s="588" t="s">
        <v>186</v>
      </c>
      <c r="M52" s="594" t="s">
        <v>207</v>
      </c>
      <c r="N52" s="597" t="str">
        <f>+IF(M52="","",IF(M52=$BO$15,$BN$15,IF(M52=$BO$16,$BN$16,IF(M52=$BO$17,$BN$17,IF(M52=$BO$18,$BN$18,IF(M52=$BO$19,$BN$19))))))</f>
        <v>Baja</v>
      </c>
      <c r="O52" s="600">
        <f>+IF(M52="","",IF(M52=$BO$15,$BR$15,IF(M52=$BO$16,$BR$16,IF(M52=$BO$17,$BR$17,IF(M52=$BO$18,$BR$18,IF(M52=$BO$19,$BR$19))))))</f>
        <v>0.4</v>
      </c>
      <c r="P52" s="594" t="s">
        <v>205</v>
      </c>
      <c r="Q52" s="603" t="str">
        <f>+IF(P52="","",IF(P52='[4]Mapa de Calor inherente'!$AF$6,'[4]Mapa de Calor inherente'!$AD$6,IF(P52='[4]Mapa de Calor inherente'!$AF$7,'[4]Mapa de Calor inherente'!$AD$7,IF(P52='[4]Mapa de Calor inherente'!$AF$8,'[4]Mapa de Calor inherente'!$AD$8,IF(P52='[4]Mapa de Calor inherente'!$AF$9,'[4]Mapa de Calor inherente'!$AD$9,IF(P52='[4]Mapa de Calor inherente'!$AF$10,'[4]Mapa de Calor inherente'!$AD$10,IF(P52='[4]Mapa de Calor inherente'!$AG$6,'[4]Mapa de Calor inherente'!$AD$6,IF(P52='[4]Mapa de Calor inherente'!$AG$7,'[4]Mapa de Calor inherente'!$AD$7,IF(P52='[4]Mapa de Calor inherente'!$AG$8,'[4]Mapa de Calor inherente'!$AD$8,IF(P52='[4]Mapa de Calor inherente'!$AG$9,'[4]Mapa de Calor inherente'!$AD$9,IF(P52='[4]Mapa de Calor inherente'!$AG$10,'[4]Mapa de Calor inherente'!$AD$10,IF(P52='[4]Mapa de Calor inherente'!$AD$8,'[4]Mapa de Calor inherente'!$AD$8,IF(P52='[4]Mapa de Calor inherente'!$AD$9,'[4]Mapa de Calor inherente'!$AD$9,IF(P52='[4]Mapa de Calor inherente'!$AD$10,'[4]Mapa de Calor inherente'!$AD$10))))))))))))))</f>
        <v>Menor</v>
      </c>
      <c r="R52" s="600">
        <f>+IF(P52="","",IF(P52='[4]Mapa de Calor inherente'!$AF$6,'[4]Mapa de Calor inherente'!$AE$6,IF(P52='[4]Mapa de Calor inherente'!$AF$7,'[4]Mapa de Calor inherente'!$AE$7,IF(P52='[4]Mapa de Calor inherente'!$AF$8,'[4]Mapa de Calor inherente'!$AE$8,IF(P52='[4]Mapa de Calor inherente'!$AF$9,'[4]Mapa de Calor inherente'!$AE$9,IF(P52='[4]Mapa de Calor inherente'!$AF$10,'[4]Mapa de Calor inherente'!$AE$10,IF(P52='[4]Mapa de Calor inherente'!$AG$6,'[4]Mapa de Calor inherente'!$AE$6,IF(P52='[4]Mapa de Calor inherente'!$AG$7,'[4]Mapa de Calor inherente'!$AE$7,IF(P52='[4]Mapa de Calor inherente'!$AG$8,'[4]Mapa de Calor inherente'!$AE$8,IF(P52='[4]Mapa de Calor inherente'!$AG$9,'[4]Mapa de Calor inherente'!$AE$9,IF(P52='[4]Mapa de Calor inherente'!$AG$10,'[4]Mapa de Calor inherente'!$AE$10,IF(P52='[4]Mapa de Calor inherente'!$AD$8,'[4]Mapa de Calor inherente'!$AE$8,IF(P52='[4]Mapa de Calor inherente'!$AD$9,'[4]Mapa de Calor inherente'!$AE$9,IF(P52='[4]Mapa de Calor inherente'!$AD$10,'[4]Mapa de Calor inherente'!$AE$10))))))))))))))</f>
        <v>0.4</v>
      </c>
      <c r="S52" s="285"/>
      <c r="T52" s="603" t="str">
        <f>+IF(N52=$BB$17,IF(Q52=$BC$16,$BC$17,IF(Q52=$BD$16,$BD$17,IF(Q52=$BE$16,$BE$17,IF(Q52=$BF$16,$BF$17,IF(Q52=$BG$16,$BG$17))))),IF(N52=$BB$18,IF(Q52=$BC$16,$BC$18,IF(Q52=$BD$16,$BD$18,IF(Q52=$BE$16,$BE$18,IF(Q52=$BF$16,$BF$18,IF(Q52=$BG$16,$BG$18))))),IF(N52=$BB$19,IF(Q52=$BC$16,$BC$19,IF(Q52=$BD$16,$BD$19,IF(Q52=$BE$16,$BE$19,IF(Q52=$BF$16,$BF$19,IF(Q52=$BG$16,$BG$19))))),IF(N52=$BB$20,IF(Q52=$BC$16,$BC$20,IF(Q52=$BD$16,$BD$20,IF(Q52=$BE$16,$BE$20,IF(Q52=$BF$16,$BF$20,IF(Q52=$BG$16,$BG$20))))),IF(N52=$BB$21,IF(Q52=$BC$16,$BC$21,IF(Q52=$BD$16,$BD$21,IF(Q52=$BE$16,$BE$21,IF(Q52=$BF$16,$BF$21,IF(Q52=$BG$16,$BG$21))))),"")))))</f>
        <v>Moderado</v>
      </c>
      <c r="U52" s="139" t="s">
        <v>171</v>
      </c>
      <c r="V52" s="417" t="s">
        <v>254</v>
      </c>
      <c r="W52" s="526" t="s">
        <v>42</v>
      </c>
      <c r="X52" s="314">
        <f>IF(W52=[4]Listas!$B$46,[4]Listas!$C$46,IF(W52=[4]Listas!$B$47,[4]Listas!$C$47,IF(W52=[4]Listas!$B$48,[4]Listas!$C$48,"")))</f>
        <v>0.15</v>
      </c>
      <c r="Y52" s="315" t="str">
        <f>IF(OR(W52=[4]Listas!$F$53,W52=[4]Listas!$F$54),[4]Listas!$G$53,IF(W52=[4]Listas!$F$55,[4]Listas!$G$55,""))</f>
        <v>Probabilidad</v>
      </c>
      <c r="Z52" s="313" t="s">
        <v>43</v>
      </c>
      <c r="AA52" s="314">
        <f>+IF(Z52=[4]Listas!$E$46,[4]Listas!$F$46,IF(Z52=[4]Listas!$E$47,[4]Listas!$F$47,""))</f>
        <v>0.15</v>
      </c>
      <c r="AB52" s="181">
        <f>IFERROR(X52+AA52,"")</f>
        <v>0.3</v>
      </c>
      <c r="AC52" s="313" t="s">
        <v>57</v>
      </c>
      <c r="AD52" s="313" t="s">
        <v>58</v>
      </c>
      <c r="AE52" s="317" t="s">
        <v>59</v>
      </c>
      <c r="AF52" s="299" t="str">
        <f t="shared" si="0"/>
        <v>Baja</v>
      </c>
      <c r="AG52" s="141">
        <f>IF(Y52=[4]Listas!$G$53,O52-(O52*AB52),O52)</f>
        <v>0.28000000000000003</v>
      </c>
      <c r="AH52" s="561">
        <f>+IF(AG61="","",AG61)</f>
        <v>0.28000000000000003</v>
      </c>
      <c r="AI52" s="299" t="str">
        <f>IF(AJ52="","",IF(AJ52&lt;=20%,"Leve",IF(AJ52&lt;=40%,"Menor",IF(AJ52&lt;=60%,"Moderado",IF(AJ52&lt;=80%,"Mayor","Catastrófico")))))</f>
        <v>Menor</v>
      </c>
      <c r="AJ52" s="141">
        <f>IF(Y52=[4]Listas!$G$55,R52-(R52*AB52),R52)</f>
        <v>0.4</v>
      </c>
      <c r="AK52" s="561">
        <f>+IF(AJ61="","",AJ61)</f>
        <v>0.4</v>
      </c>
      <c r="AL52" s="564" t="str">
        <f>+IF(AH52=0,"",IF(AH52&lt;=$BA$21,$BB$21,IF(AH52&lt;=$BA$20,$BB$20,IF(AH52&lt;=$BA$19,$BB$19,IF(AH52&lt;=$BA$18,$BB$18,IF(AH52&lt;=$BA$17,$BB$17,""))))))</f>
        <v>Baja</v>
      </c>
      <c r="AM52" s="564" t="str">
        <f>+IF(AK52=0,"",IF(AK52&lt;=$BC$15,$BC$16,IF(AK52&lt;=$BD$15,$BD$16,IF(AK52&lt;=$BE$15,$BE$16,IF(AK52&lt;=$BF$15,$BF$16,IF(AK52&lt;=$BG$15,$BG$16,""))))))</f>
        <v>Menor</v>
      </c>
      <c r="AN52" s="564" t="str">
        <f>IF(AL52=$BB$17,IF(AM52=$BC$16,$BC$17,IF(AM52=$BD$16,$BD$17,IF(AM52=$BE$16,$BE$17,IF(AM52=$BF$16,$BF$17,IF(AM52=$BG$16,$BG$17))))),IF(AL52=$BB$18,IF(AM52=$BC$16,$BC$18,IF(AM52=$BD$16,$BD$18,IF(AM52=$BE$16,$BE$18,IF(AM52=$BF$16,$BF$18,IF(AM52=$BG$16,$BG$18))))),IF(AL52=$BB$19,IF(AM52=$BC$16,$BC$19,IF(AM52=$BD$16,$BD$19,IF(AM52=$BE$16,$BE$19,IF(AM52=$BF$16,$BF$19,IF(AM52=$BG$16,$BG$19))))),IF(AL52=$BB$20,IF(AM52=$BC$16,$BC$20,IF(AM52=$BD$16,$BD$20,IF(AM52=$BE$16,$BE$20,IF(AM52=$BF$16,$BF$20,IF(AM52=$BG$16,$BG$20))))),IF(AL52=$BB$21,IF(AM52=$BC$16,$BC$21,IF(AM52=$BD$16,$BD$21,IF(AM52=$BE$16,$BE$21,IF(AM52=$BF$16,$BF$21,IF(AM52=$BG$16,$BG$21))))),"")))))</f>
        <v>Moderado</v>
      </c>
      <c r="AO52" s="567" t="str">
        <f>IF(AP52="","",IF(AP52=[4]Listas!$F$61,[4]Listas!$G$61,IF(AP52=[4]Listas!$F$63,[4]Listas!$G$63,IF(AP52=[4]Listas!$F$64,[4]Listas!$G$64))))</f>
        <v>Requiere Plan de Acción</v>
      </c>
      <c r="AP52" s="570" t="str">
        <f>IF(AN52="","",IF(OR(AN52=[4]Listas!$E$61,AN52=[4]Listas!$E$62),[4]Listas!$F$61,IF(AN52=[4]Listas!$E$63,[4]Listas!$F$63,IF(AN52=[4]Listas!$E$64,[4]Listas!$F$64))))</f>
        <v>Aceptar o reducir el riesgo</v>
      </c>
      <c r="AQ52" s="342" t="s">
        <v>80</v>
      </c>
      <c r="AR52" s="189" t="s">
        <v>255</v>
      </c>
    </row>
    <row r="53" spans="2:44" ht="15" hidden="1" customHeight="1" thickTop="1" thickBot="1" x14ac:dyDescent="0.4">
      <c r="B53" s="870"/>
      <c r="C53" s="559"/>
      <c r="D53" s="745"/>
      <c r="E53" s="577"/>
      <c r="F53" s="625"/>
      <c r="G53" s="628"/>
      <c r="H53" s="628"/>
      <c r="I53" s="589"/>
      <c r="J53" s="589"/>
      <c r="K53" s="592"/>
      <c r="L53" s="589"/>
      <c r="M53" s="595"/>
      <c r="N53" s="598"/>
      <c r="O53" s="601"/>
      <c r="P53" s="595"/>
      <c r="Q53" s="604"/>
      <c r="R53" s="601"/>
      <c r="S53" s="286"/>
      <c r="T53" s="604"/>
      <c r="U53" s="142" t="s">
        <v>174</v>
      </c>
      <c r="V53" s="421"/>
      <c r="W53" s="331"/>
      <c r="X53" s="320" t="str">
        <f>IF(W53=[4]Listas!$B$46,[4]Listas!$C$46,IF(W53=[4]Listas!$B$47,[4]Listas!$C$47,IF(W53=[4]Listas!$B$48,[4]Listas!$C$48,"")))</f>
        <v/>
      </c>
      <c r="Y53" s="321" t="str">
        <f>IF(OR(W53=[4]Listas!$F$53,W53=[4]Listas!$F$54),[4]Listas!$G$53,IF(W53=[4]Listas!$F$55,[4]Listas!$G$55,""))</f>
        <v/>
      </c>
      <c r="Z53" s="331"/>
      <c r="AA53" s="182" t="str">
        <f>+IF(Z53=[4]Listas!$E$46,[4]Listas!$F$46,IF(Z53=[4]Listas!$E$47,[4]Listas!$F$47,""))</f>
        <v/>
      </c>
      <c r="AB53" s="183" t="str">
        <f>IFERROR(X53+AA53,"")</f>
        <v/>
      </c>
      <c r="AC53" s="319"/>
      <c r="AD53" s="319"/>
      <c r="AE53" s="323"/>
      <c r="AF53" s="305" t="str">
        <f t="shared" si="0"/>
        <v>Baja</v>
      </c>
      <c r="AG53" s="145">
        <f>IF(Y53=[4]Listas!$G$53,AG52-(AG52*AB53),AG52)</f>
        <v>0.28000000000000003</v>
      </c>
      <c r="AH53" s="562"/>
      <c r="AI53" s="305" t="str">
        <f t="shared" si="4"/>
        <v>Menor</v>
      </c>
      <c r="AJ53" s="145">
        <f>IF(Y53=[4]Listas!$G$55,AJ52-(AJ52*AB53),AJ52)</f>
        <v>0.4</v>
      </c>
      <c r="AK53" s="562"/>
      <c r="AL53" s="565"/>
      <c r="AM53" s="565"/>
      <c r="AN53" s="565"/>
      <c r="AO53" s="568"/>
      <c r="AP53" s="571"/>
      <c r="AQ53" s="343"/>
      <c r="AR53" s="191"/>
    </row>
    <row r="54" spans="2:44" ht="15" hidden="1" customHeight="1" thickTop="1" thickBot="1" x14ac:dyDescent="0.4">
      <c r="B54" s="870"/>
      <c r="C54" s="559"/>
      <c r="D54" s="745"/>
      <c r="E54" s="577"/>
      <c r="F54" s="625"/>
      <c r="G54" s="628"/>
      <c r="H54" s="628"/>
      <c r="I54" s="589"/>
      <c r="J54" s="589"/>
      <c r="K54" s="592"/>
      <c r="L54" s="589"/>
      <c r="M54" s="595"/>
      <c r="N54" s="598"/>
      <c r="O54" s="601"/>
      <c r="P54" s="595"/>
      <c r="Q54" s="604"/>
      <c r="R54" s="601"/>
      <c r="S54" s="287"/>
      <c r="T54" s="604"/>
      <c r="U54" s="142" t="s">
        <v>180</v>
      </c>
      <c r="V54" s="415"/>
      <c r="W54" s="331"/>
      <c r="X54" s="320" t="str">
        <f>IF(W54=[4]Listas!$B$46,[4]Listas!$C$46,IF(W54=[4]Listas!$B$47,[4]Listas!$C$47,IF(W54=[4]Listas!$B$48,[4]Listas!$C$48,"")))</f>
        <v/>
      </c>
      <c r="Y54" s="321" t="str">
        <f>IF(OR(W54=[4]Listas!$F$53,W54=[4]Listas!$F$54),[4]Listas!$G$53,IF(W54=[4]Listas!$F$55,[4]Listas!$G$55,""))</f>
        <v/>
      </c>
      <c r="Z54" s="331"/>
      <c r="AA54" s="182" t="str">
        <f>+IF(Z54=[4]Listas!$E$46,[4]Listas!$F$46,IF(Z54=[4]Listas!$E$47,[4]Listas!$F$47,""))</f>
        <v/>
      </c>
      <c r="AB54" s="183" t="str">
        <f>IFERROR(X54+AA54,"")</f>
        <v/>
      </c>
      <c r="AC54" s="319"/>
      <c r="AD54" s="319"/>
      <c r="AE54" s="323"/>
      <c r="AF54" s="305" t="str">
        <f t="shared" si="0"/>
        <v>Baja</v>
      </c>
      <c r="AG54" s="145">
        <f>IF(Y54=[4]Listas!$G$53,AG53-(AG53*AB54),AG53)</f>
        <v>0.28000000000000003</v>
      </c>
      <c r="AH54" s="562"/>
      <c r="AI54" s="305" t="str">
        <f t="shared" si="4"/>
        <v>Menor</v>
      </c>
      <c r="AJ54" s="145">
        <f>IF(Y54=[4]Listas!$G$55,AJ53-(AJ53*AB54),AJ53)</f>
        <v>0.4</v>
      </c>
      <c r="AK54" s="562"/>
      <c r="AL54" s="565"/>
      <c r="AM54" s="565"/>
      <c r="AN54" s="565"/>
      <c r="AO54" s="568"/>
      <c r="AP54" s="571"/>
      <c r="AQ54" s="343"/>
      <c r="AR54" s="191"/>
    </row>
    <row r="55" spans="2:44" ht="15" hidden="1" customHeight="1" thickTop="1" thickBot="1" x14ac:dyDescent="0.4">
      <c r="B55" s="870"/>
      <c r="C55" s="559"/>
      <c r="D55" s="745"/>
      <c r="E55" s="577"/>
      <c r="F55" s="625"/>
      <c r="G55" s="628"/>
      <c r="H55" s="628"/>
      <c r="I55" s="589"/>
      <c r="J55" s="589"/>
      <c r="K55" s="592"/>
      <c r="L55" s="589"/>
      <c r="M55" s="595"/>
      <c r="N55" s="598"/>
      <c r="O55" s="601"/>
      <c r="P55" s="595"/>
      <c r="Q55" s="604"/>
      <c r="R55" s="601"/>
      <c r="S55" s="287"/>
      <c r="T55" s="604"/>
      <c r="U55" s="142" t="s">
        <v>190</v>
      </c>
      <c r="V55" s="415"/>
      <c r="W55" s="331"/>
      <c r="X55" s="320" t="str">
        <f>IF(W55=[4]Listas!$B$46,[4]Listas!$C$46,IF(W55=[4]Listas!$B$47,[4]Listas!$C$47,IF(W55=[4]Listas!$B$48,[4]Listas!$C$48,"")))</f>
        <v/>
      </c>
      <c r="Y55" s="321" t="str">
        <f>IF(OR(W55=[4]Listas!$F$53,W55=[4]Listas!$F$54),[4]Listas!$G$53,IF(W55=[4]Listas!$F$55,[4]Listas!$G$55,""))</f>
        <v/>
      </c>
      <c r="Z55" s="331"/>
      <c r="AA55" s="182" t="str">
        <f>+IF(Z55=[4]Listas!$E$46,[4]Listas!$F$46,IF(Z55=[4]Listas!$E$47,[4]Listas!$F$47,""))</f>
        <v/>
      </c>
      <c r="AB55" s="183" t="str">
        <f t="shared" ref="AB55:AB61" si="7">IFERROR(X55+AA55,"")</f>
        <v/>
      </c>
      <c r="AC55" s="319"/>
      <c r="AD55" s="319"/>
      <c r="AE55" s="323"/>
      <c r="AF55" s="305" t="str">
        <f t="shared" si="0"/>
        <v>Baja</v>
      </c>
      <c r="AG55" s="145">
        <f>IF(Y55=[4]Listas!$G$53,AG54-(AG54*AB55),AG54)</f>
        <v>0.28000000000000003</v>
      </c>
      <c r="AH55" s="562"/>
      <c r="AI55" s="305" t="str">
        <f t="shared" si="4"/>
        <v>Menor</v>
      </c>
      <c r="AJ55" s="145">
        <f>IF(Y55=[4]Listas!$G$55,AJ54-(AJ54*AB55),AJ54)</f>
        <v>0.4</v>
      </c>
      <c r="AK55" s="562"/>
      <c r="AL55" s="565"/>
      <c r="AM55" s="565"/>
      <c r="AN55" s="565"/>
      <c r="AO55" s="568"/>
      <c r="AP55" s="571"/>
      <c r="AQ55" s="344"/>
      <c r="AR55" s="191"/>
    </row>
    <row r="56" spans="2:44" ht="15" hidden="1" customHeight="1" thickTop="1" thickBot="1" x14ac:dyDescent="0.4">
      <c r="B56" s="870"/>
      <c r="C56" s="559"/>
      <c r="D56" s="745"/>
      <c r="E56" s="577"/>
      <c r="F56" s="625"/>
      <c r="G56" s="628"/>
      <c r="H56" s="628"/>
      <c r="I56" s="589"/>
      <c r="J56" s="589"/>
      <c r="K56" s="592"/>
      <c r="L56" s="589"/>
      <c r="M56" s="595"/>
      <c r="N56" s="598"/>
      <c r="O56" s="601"/>
      <c r="P56" s="595"/>
      <c r="Q56" s="604"/>
      <c r="R56" s="601"/>
      <c r="S56" s="287"/>
      <c r="T56" s="604"/>
      <c r="U56" s="142" t="s">
        <v>198</v>
      </c>
      <c r="V56" s="415"/>
      <c r="W56" s="331"/>
      <c r="X56" s="320" t="str">
        <f>IF(W56=[4]Listas!$B$46,[4]Listas!$C$46,IF(W56=[4]Listas!$B$47,[4]Listas!$C$47,IF(W56=[4]Listas!$B$48,[4]Listas!$C$48,"")))</f>
        <v/>
      </c>
      <c r="Y56" s="321" t="str">
        <f>IF(OR(W56=[4]Listas!$F$53,W56=[4]Listas!$F$54),[4]Listas!$G$53,IF(W56=[4]Listas!$F$55,[4]Listas!$G$55,""))</f>
        <v/>
      </c>
      <c r="Z56" s="331"/>
      <c r="AA56" s="182" t="str">
        <f>+IF(Z56=[4]Listas!$E$46,[4]Listas!$F$46,IF(Z56=[4]Listas!$E$47,[4]Listas!$F$47,""))</f>
        <v/>
      </c>
      <c r="AB56" s="183" t="str">
        <f t="shared" si="7"/>
        <v/>
      </c>
      <c r="AC56" s="319"/>
      <c r="AD56" s="319"/>
      <c r="AE56" s="323"/>
      <c r="AF56" s="305" t="str">
        <f t="shared" si="0"/>
        <v>Baja</v>
      </c>
      <c r="AG56" s="145">
        <f>IF(Y56=[4]Listas!$G$53,AG55-(AG55*AB56),AG55)</f>
        <v>0.28000000000000003</v>
      </c>
      <c r="AH56" s="562"/>
      <c r="AI56" s="305" t="str">
        <f t="shared" si="4"/>
        <v>Menor</v>
      </c>
      <c r="AJ56" s="145">
        <f>IF(Y56=[4]Listas!$G$55,AJ55-(AJ55*AB56),AJ55)</f>
        <v>0.4</v>
      </c>
      <c r="AK56" s="562"/>
      <c r="AL56" s="565"/>
      <c r="AM56" s="565"/>
      <c r="AN56" s="565"/>
      <c r="AO56" s="568"/>
      <c r="AP56" s="571"/>
      <c r="AQ56" s="343"/>
      <c r="AR56" s="191"/>
    </row>
    <row r="57" spans="2:44" ht="15.75" hidden="1" customHeight="1" thickTop="1" thickBot="1" x14ac:dyDescent="0.4">
      <c r="B57" s="870"/>
      <c r="C57" s="559"/>
      <c r="D57" s="745"/>
      <c r="E57" s="577"/>
      <c r="F57" s="625"/>
      <c r="G57" s="628"/>
      <c r="H57" s="628"/>
      <c r="I57" s="589"/>
      <c r="J57" s="589"/>
      <c r="K57" s="592"/>
      <c r="L57" s="589"/>
      <c r="M57" s="595"/>
      <c r="N57" s="598"/>
      <c r="O57" s="601"/>
      <c r="P57" s="595"/>
      <c r="Q57" s="604"/>
      <c r="R57" s="601"/>
      <c r="S57" s="288"/>
      <c r="T57" s="604"/>
      <c r="U57" s="142" t="s">
        <v>208</v>
      </c>
      <c r="V57" s="415"/>
      <c r="W57" s="331"/>
      <c r="X57" s="320" t="str">
        <f>IF(W57=[4]Listas!$B$46,[4]Listas!$C$46,IF(W57=[4]Listas!$B$47,[4]Listas!$C$47,IF(W57=[4]Listas!$B$48,[4]Listas!$C$48,"")))</f>
        <v/>
      </c>
      <c r="Y57" s="321" t="str">
        <f>IF(OR(W57=[4]Listas!$F$53,W57=[4]Listas!$F$54),[4]Listas!$G$53,IF(W57=[4]Listas!$F$55,[4]Listas!$G$55,""))</f>
        <v/>
      </c>
      <c r="Z57" s="331"/>
      <c r="AA57" s="182" t="str">
        <f>+IF(Z57=[4]Listas!$E$46,[4]Listas!$F$46,IF(Z57=[4]Listas!$E$47,[4]Listas!$F$47,""))</f>
        <v/>
      </c>
      <c r="AB57" s="183" t="str">
        <f t="shared" si="7"/>
        <v/>
      </c>
      <c r="AC57" s="319"/>
      <c r="AD57" s="319"/>
      <c r="AE57" s="323"/>
      <c r="AF57" s="305" t="str">
        <f t="shared" si="0"/>
        <v>Baja</v>
      </c>
      <c r="AG57" s="145">
        <f>IF(Y57=[4]Listas!$G$53,AG56-(AG56*AB57),AG56)</f>
        <v>0.28000000000000003</v>
      </c>
      <c r="AH57" s="562"/>
      <c r="AI57" s="305" t="str">
        <f t="shared" si="4"/>
        <v>Menor</v>
      </c>
      <c r="AJ57" s="145">
        <f>IF(Y57=[4]Listas!$G$55,AJ56-(AJ56*AB57),AJ56)</f>
        <v>0.4</v>
      </c>
      <c r="AK57" s="562"/>
      <c r="AL57" s="565"/>
      <c r="AM57" s="565"/>
      <c r="AN57" s="565"/>
      <c r="AO57" s="568"/>
      <c r="AP57" s="571"/>
      <c r="AQ57" s="344"/>
      <c r="AR57" s="191"/>
    </row>
    <row r="58" spans="2:44" ht="15" hidden="1" customHeight="1" thickTop="1" thickBot="1" x14ac:dyDescent="0.4">
      <c r="B58" s="870"/>
      <c r="C58" s="559"/>
      <c r="D58" s="745"/>
      <c r="E58" s="577"/>
      <c r="F58" s="625"/>
      <c r="G58" s="628"/>
      <c r="H58" s="628"/>
      <c r="I58" s="589"/>
      <c r="J58" s="589"/>
      <c r="K58" s="592"/>
      <c r="L58" s="589"/>
      <c r="M58" s="595"/>
      <c r="N58" s="598"/>
      <c r="O58" s="601"/>
      <c r="P58" s="595"/>
      <c r="Q58" s="604"/>
      <c r="R58" s="601"/>
      <c r="S58" s="289"/>
      <c r="T58" s="604"/>
      <c r="U58" s="142" t="s">
        <v>215</v>
      </c>
      <c r="V58" s="418"/>
      <c r="W58" s="331"/>
      <c r="X58" s="320" t="str">
        <f>IF(W58=[4]Listas!$B$46,[4]Listas!$C$46,IF(W58=[4]Listas!$B$47,[4]Listas!$C$47,IF(W58=[4]Listas!$B$48,[4]Listas!$C$48,"")))</f>
        <v/>
      </c>
      <c r="Y58" s="321" t="str">
        <f>IF(OR(W58=[4]Listas!$F$53,W58=[4]Listas!$F$54),[4]Listas!$G$53,IF(W58=[4]Listas!$F$55,[4]Listas!$G$55,""))</f>
        <v/>
      </c>
      <c r="Z58" s="331"/>
      <c r="AA58" s="182" t="str">
        <f>+IF(Z58=[4]Listas!$E$46,[4]Listas!$F$46,IF(Z58=[4]Listas!$E$47,[4]Listas!$F$47,""))</f>
        <v/>
      </c>
      <c r="AB58" s="183" t="str">
        <f t="shared" si="7"/>
        <v/>
      </c>
      <c r="AC58" s="319"/>
      <c r="AD58" s="322"/>
      <c r="AE58" s="323"/>
      <c r="AF58" s="305" t="str">
        <f t="shared" si="0"/>
        <v>Baja</v>
      </c>
      <c r="AG58" s="145">
        <f>IF(Y58=[4]Listas!$G$53,AG57-(AG57*AB58),AG57)</f>
        <v>0.28000000000000003</v>
      </c>
      <c r="AH58" s="562"/>
      <c r="AI58" s="305" t="str">
        <f t="shared" si="4"/>
        <v>Menor</v>
      </c>
      <c r="AJ58" s="145">
        <f>IF(Y58=[4]Listas!$G$55,AJ57-(AJ57*AB58),AJ57)</f>
        <v>0.4</v>
      </c>
      <c r="AK58" s="562"/>
      <c r="AL58" s="565"/>
      <c r="AM58" s="565"/>
      <c r="AN58" s="565"/>
      <c r="AO58" s="568"/>
      <c r="AP58" s="571"/>
      <c r="AQ58" s="345"/>
      <c r="AR58" s="191"/>
    </row>
    <row r="59" spans="2:44" ht="15" hidden="1" customHeight="1" thickTop="1" thickBot="1" x14ac:dyDescent="0.4">
      <c r="B59" s="870"/>
      <c r="C59" s="559"/>
      <c r="D59" s="745"/>
      <c r="E59" s="577"/>
      <c r="F59" s="625"/>
      <c r="G59" s="628"/>
      <c r="H59" s="628"/>
      <c r="I59" s="589"/>
      <c r="J59" s="589"/>
      <c r="K59" s="592"/>
      <c r="L59" s="589"/>
      <c r="M59" s="595"/>
      <c r="N59" s="598"/>
      <c r="O59" s="601"/>
      <c r="P59" s="595"/>
      <c r="Q59" s="604"/>
      <c r="R59" s="601"/>
      <c r="S59" s="289"/>
      <c r="T59" s="604"/>
      <c r="U59" s="142" t="s">
        <v>220</v>
      </c>
      <c r="V59" s="418"/>
      <c r="W59" s="331"/>
      <c r="X59" s="320" t="str">
        <f>IF(W59=[4]Listas!$B$46,[4]Listas!$C$46,IF(W59=[4]Listas!$B$47,[4]Listas!$C$47,IF(W59=[4]Listas!$B$48,[4]Listas!$C$48,"")))</f>
        <v/>
      </c>
      <c r="Y59" s="321" t="str">
        <f>IF(OR(W59=[4]Listas!$F$53,W59=[4]Listas!$F$54),[4]Listas!$G$53,IF(W59=[4]Listas!$F$55,[4]Listas!$G$55,""))</f>
        <v/>
      </c>
      <c r="Z59" s="331"/>
      <c r="AA59" s="182" t="str">
        <f>+IF(Z59=[4]Listas!$E$46,[4]Listas!$F$46,IF(Z59=[4]Listas!$E$47,[4]Listas!$F$47,""))</f>
        <v/>
      </c>
      <c r="AB59" s="183" t="str">
        <f t="shared" si="7"/>
        <v/>
      </c>
      <c r="AC59" s="319"/>
      <c r="AD59" s="322"/>
      <c r="AE59" s="323"/>
      <c r="AF59" s="305" t="str">
        <f t="shared" si="0"/>
        <v>Baja</v>
      </c>
      <c r="AG59" s="145">
        <f>IF(Y59=[4]Listas!$G$53,AG58-(AG58*AB59),AG58)</f>
        <v>0.28000000000000003</v>
      </c>
      <c r="AH59" s="562"/>
      <c r="AI59" s="305" t="str">
        <f t="shared" si="4"/>
        <v>Menor</v>
      </c>
      <c r="AJ59" s="145">
        <f>IF(Y59=[4]Listas!$G$55,AJ58-(AJ58*AB59),AJ58)</f>
        <v>0.4</v>
      </c>
      <c r="AK59" s="562"/>
      <c r="AL59" s="565"/>
      <c r="AM59" s="565"/>
      <c r="AN59" s="565"/>
      <c r="AO59" s="568"/>
      <c r="AP59" s="571"/>
      <c r="AQ59" s="343"/>
      <c r="AR59" s="191"/>
    </row>
    <row r="60" spans="2:44" ht="15" hidden="1" customHeight="1" thickTop="1" thickBot="1" x14ac:dyDescent="0.4">
      <c r="B60" s="870"/>
      <c r="C60" s="559"/>
      <c r="D60" s="745"/>
      <c r="E60" s="577"/>
      <c r="F60" s="625"/>
      <c r="G60" s="628"/>
      <c r="H60" s="628"/>
      <c r="I60" s="589"/>
      <c r="J60" s="589"/>
      <c r="K60" s="592"/>
      <c r="L60" s="589"/>
      <c r="M60" s="595"/>
      <c r="N60" s="598"/>
      <c r="O60" s="601"/>
      <c r="P60" s="595"/>
      <c r="Q60" s="604"/>
      <c r="R60" s="601"/>
      <c r="S60" s="289"/>
      <c r="T60" s="604"/>
      <c r="U60" s="142" t="s">
        <v>223</v>
      </c>
      <c r="V60" s="418"/>
      <c r="W60" s="331"/>
      <c r="X60" s="320" t="str">
        <f>IF(W60=[4]Listas!$B$46,[4]Listas!$C$46,IF(W60=[4]Listas!$B$47,[4]Listas!$C$47,IF(W60=[4]Listas!$B$48,[4]Listas!$C$48,"")))</f>
        <v/>
      </c>
      <c r="Y60" s="321" t="str">
        <f>IF(OR(W60=[4]Listas!$F$53,W60=[4]Listas!$F$54),[4]Listas!$G$53,IF(W60=[4]Listas!$F$55,[4]Listas!$G$55,""))</f>
        <v/>
      </c>
      <c r="Z60" s="331"/>
      <c r="AA60" s="182" t="str">
        <f>+IF(Z60=[4]Listas!$E$46,[4]Listas!$F$46,IF(Z60=[4]Listas!$E$47,[4]Listas!$F$47,""))</f>
        <v/>
      </c>
      <c r="AB60" s="183" t="str">
        <f t="shared" si="7"/>
        <v/>
      </c>
      <c r="AC60" s="319"/>
      <c r="AD60" s="322"/>
      <c r="AE60" s="323"/>
      <c r="AF60" s="305" t="str">
        <f t="shared" si="0"/>
        <v>Baja</v>
      </c>
      <c r="AG60" s="145">
        <f>IF(Y60=[4]Listas!$G$53,AG59-(AG59*AB60),AG59)</f>
        <v>0.28000000000000003</v>
      </c>
      <c r="AH60" s="562"/>
      <c r="AI60" s="305" t="str">
        <f t="shared" si="4"/>
        <v>Menor</v>
      </c>
      <c r="AJ60" s="145">
        <f>IF(Y60=[4]Listas!$G$55,AJ59-(AJ59*AB60),AJ59)</f>
        <v>0.4</v>
      </c>
      <c r="AK60" s="562"/>
      <c r="AL60" s="565"/>
      <c r="AM60" s="565"/>
      <c r="AN60" s="565"/>
      <c r="AO60" s="568"/>
      <c r="AP60" s="571"/>
      <c r="AQ60" s="344"/>
      <c r="AR60" s="191"/>
    </row>
    <row r="61" spans="2:44" ht="15.75" hidden="1" customHeight="1" thickTop="1" thickBot="1" x14ac:dyDescent="0.4">
      <c r="B61" s="870"/>
      <c r="C61" s="559"/>
      <c r="D61" s="810"/>
      <c r="E61" s="577"/>
      <c r="F61" s="626"/>
      <c r="G61" s="629"/>
      <c r="H61" s="629"/>
      <c r="I61" s="590"/>
      <c r="J61" s="590"/>
      <c r="K61" s="593"/>
      <c r="L61" s="589"/>
      <c r="M61" s="595"/>
      <c r="N61" s="599"/>
      <c r="O61" s="602"/>
      <c r="P61" s="596"/>
      <c r="Q61" s="605"/>
      <c r="R61" s="602"/>
      <c r="S61" s="290"/>
      <c r="T61" s="605"/>
      <c r="U61" s="142" t="s">
        <v>224</v>
      </c>
      <c r="V61" s="416"/>
      <c r="W61" s="335"/>
      <c r="X61" s="336" t="str">
        <f>IF(W61=[4]Listas!$B$46,[4]Listas!$C$46,IF(W61=[4]Listas!$B$47,[4]Listas!$C$47,IF(W61=[4]Listas!$B$48,[4]Listas!$C$48,"")))</f>
        <v/>
      </c>
      <c r="Y61" s="337" t="str">
        <f>IF(OR(W61=[4]Listas!$F$53,W61=[4]Listas!$F$54),[4]Listas!$G$53,IF(W61=[4]Listas!$F$55,[4]Listas!$G$55,""))</f>
        <v/>
      </c>
      <c r="Z61" s="335"/>
      <c r="AA61" s="186" t="str">
        <f>+IF(Z61=[4]Listas!$E$46,[4]Listas!$F$46,IF(Z61=[4]Listas!$E$47,[4]Listas!$F$47,""))</f>
        <v/>
      </c>
      <c r="AB61" s="187" t="str">
        <f t="shared" si="7"/>
        <v/>
      </c>
      <c r="AC61" s="338"/>
      <c r="AD61" s="339"/>
      <c r="AE61" s="340"/>
      <c r="AF61" s="311" t="str">
        <f t="shared" si="0"/>
        <v>Baja</v>
      </c>
      <c r="AG61" s="179">
        <f>IF(Y61=[4]Listas!$G$53,AG60-(AG60*AB61),AG60)</f>
        <v>0.28000000000000003</v>
      </c>
      <c r="AH61" s="563"/>
      <c r="AI61" s="311" t="str">
        <f t="shared" si="4"/>
        <v>Menor</v>
      </c>
      <c r="AJ61" s="179">
        <f>IF(Y61=[4]Listas!$G$55,AJ60-(AJ60*AB61),AJ60)</f>
        <v>0.4</v>
      </c>
      <c r="AK61" s="563"/>
      <c r="AL61" s="566"/>
      <c r="AM61" s="566"/>
      <c r="AN61" s="566"/>
      <c r="AO61" s="569"/>
      <c r="AP61" s="572"/>
      <c r="AQ61" s="346"/>
      <c r="AR61" s="192"/>
    </row>
    <row r="62" spans="2:44" ht="228.75" customHeight="1" thickTop="1" thickBot="1" x14ac:dyDescent="0.4">
      <c r="B62" s="870"/>
      <c r="C62" s="559"/>
      <c r="D62" s="809" t="s">
        <v>256</v>
      </c>
      <c r="E62" s="576" t="s">
        <v>5</v>
      </c>
      <c r="F62" s="624" t="s">
        <v>257</v>
      </c>
      <c r="G62" s="627" t="s">
        <v>258</v>
      </c>
      <c r="H62" s="627" t="s">
        <v>259</v>
      </c>
      <c r="I62" s="588" t="s">
        <v>28</v>
      </c>
      <c r="J62" s="588" t="s">
        <v>31</v>
      </c>
      <c r="K62" s="591"/>
      <c r="L62" s="588" t="s">
        <v>186</v>
      </c>
      <c r="M62" s="594" t="s">
        <v>197</v>
      </c>
      <c r="N62" s="597" t="str">
        <f>+IF(M62="","",IF(M62=$BO$15,$BN$15,IF(M62=$BO$16,$BN$16,IF(M62=$BO$17,$BN$17,IF(M62=$BO$18,$BN$18,IF(M62=$BO$19,$BN$19))))))</f>
        <v>Muy Baja</v>
      </c>
      <c r="O62" s="600">
        <f>+IF(M62="","",IF(M62=$BO$15,$BR$15,IF(M62=$BO$16,$BR$16,IF(M62=$BO$17,$BR$17,IF(M62=$BO$18,$BR$18,IF(M62=$BO$19,$BR$19))))))</f>
        <v>0.2</v>
      </c>
      <c r="P62" s="594" t="s">
        <v>205</v>
      </c>
      <c r="Q62" s="603" t="str">
        <f>+IF(P62="","",IF(P62='[4]Mapa de Calor inherente'!$AF$6,'[4]Mapa de Calor inherente'!$AD$6,IF(P62='[4]Mapa de Calor inherente'!$AF$7,'[4]Mapa de Calor inherente'!$AD$7,IF(P62='[4]Mapa de Calor inherente'!$AF$8,'[4]Mapa de Calor inherente'!$AD$8,IF(P62='[4]Mapa de Calor inherente'!$AF$9,'[4]Mapa de Calor inherente'!$AD$9,IF(P62='[4]Mapa de Calor inherente'!$AF$10,'[4]Mapa de Calor inherente'!$AD$10,IF(P62='[4]Mapa de Calor inherente'!$AG$6,'[4]Mapa de Calor inherente'!$AD$6,IF(P62='[4]Mapa de Calor inherente'!$AG$7,'[4]Mapa de Calor inherente'!$AD$7,IF(P62='[4]Mapa de Calor inherente'!$AG$8,'[4]Mapa de Calor inherente'!$AD$8,IF(P62='[4]Mapa de Calor inherente'!$AG$9,'[4]Mapa de Calor inherente'!$AD$9,IF(P62='[4]Mapa de Calor inherente'!$AG$10,'[4]Mapa de Calor inherente'!$AD$10,IF(P62='[4]Mapa de Calor inherente'!$AD$8,'[4]Mapa de Calor inherente'!$AD$8,IF(P62='[4]Mapa de Calor inherente'!$AD$9,'[4]Mapa de Calor inherente'!$AD$9,IF(P62='[4]Mapa de Calor inherente'!$AD$10,'[4]Mapa de Calor inherente'!$AD$10))))))))))))))</f>
        <v>Menor</v>
      </c>
      <c r="R62" s="600">
        <f>+IF(P62="","",IF(P62='[4]Mapa de Calor inherente'!$AF$6,'[4]Mapa de Calor inherente'!$AE$6,IF(P62='[4]Mapa de Calor inherente'!$AF$7,'[4]Mapa de Calor inherente'!$AE$7,IF(P62='[4]Mapa de Calor inherente'!$AF$8,'[4]Mapa de Calor inherente'!$AE$8,IF(P62='[4]Mapa de Calor inherente'!$AF$9,'[4]Mapa de Calor inherente'!$AE$9,IF(P62='[4]Mapa de Calor inherente'!$AF$10,'[4]Mapa de Calor inherente'!$AE$10,IF(P62='[4]Mapa de Calor inherente'!$AG$6,'[4]Mapa de Calor inherente'!$AE$6,IF(P62='[4]Mapa de Calor inherente'!$AG$7,'[4]Mapa de Calor inherente'!$AE$7,IF(P62='[4]Mapa de Calor inherente'!$AG$8,'[4]Mapa de Calor inherente'!$AE$8,IF(P62='[4]Mapa de Calor inherente'!$AG$9,'[4]Mapa de Calor inherente'!$AE$9,IF(P62='[4]Mapa de Calor inherente'!$AG$10,'[4]Mapa de Calor inherente'!$AE$10,IF(P62='[4]Mapa de Calor inherente'!$AD$8,'[4]Mapa de Calor inherente'!$AE$8,IF(P62='[4]Mapa de Calor inherente'!$AD$9,'[4]Mapa de Calor inherente'!$AE$9,IF(P62='[4]Mapa de Calor inherente'!$AD$10,'[4]Mapa de Calor inherente'!$AE$10))))))))))))))</f>
        <v>0.4</v>
      </c>
      <c r="S62" s="285"/>
      <c r="T62" s="603" t="str">
        <f>+IF(N62=$BB$17,IF(Q62=$BC$16,$BC$17,IF(Q62=$BD$16,$BD$17,IF(Q62=$BE$16,$BE$17,IF(Q62=$BF$16,$BF$17,IF(Q62=$BG$16,$BG$17))))),IF(N62=$BB$18,IF(Q62=$BC$16,$BC$18,IF(Q62=$BD$16,$BD$18,IF(Q62=$BE$16,$BE$18,IF(Q62=$BF$16,$BF$18,IF(Q62=$BG$16,$BG$18))))),IF(N62=$BB$19,IF(Q62=$BC$16,$BC$19,IF(Q62=$BD$16,$BD$19,IF(Q62=$BE$16,$BE$19,IF(Q62=$BF$16,$BF$19,IF(Q62=$BG$16,$BG$19))))),IF(N62=$BB$20,IF(Q62=$BC$16,$BC$20,IF(Q62=$BD$16,$BD$20,IF(Q62=$BE$16,$BE$20,IF(Q62=$BF$16,$BF$20,IF(Q62=$BG$16,$BG$20))))),IF(N62=$BB$21,IF(Q62=$BC$16,$BC$21,IF(Q62=$BD$16,$BD$21,IF(Q62=$BE$16,$BE$21,IF(Q62=$BF$16,$BF$21,IF(Q62=$BG$16,$BG$21))))),"")))))</f>
        <v>Bajo</v>
      </c>
      <c r="U62" s="139" t="s">
        <v>171</v>
      </c>
      <c r="V62" s="422" t="s">
        <v>260</v>
      </c>
      <c r="W62" s="313" t="s">
        <v>40</v>
      </c>
      <c r="X62" s="314">
        <f>IF(W62=[4]Listas!$B$46,[4]Listas!$C$46,IF(W62=[4]Listas!$B$47,[4]Listas!$C$47,IF(W62=[4]Listas!$B$48,[4]Listas!$C$48,"")))</f>
        <v>0.25</v>
      </c>
      <c r="Y62" s="315" t="str">
        <f>IF(OR(W62=[4]Listas!$F$53,W62=[4]Listas!$F$54),[4]Listas!$G$53,IF(W62=[4]Listas!$F$55,[4]Listas!$G$55,""))</f>
        <v>Probabilidad</v>
      </c>
      <c r="Z62" s="313" t="s">
        <v>41</v>
      </c>
      <c r="AA62" s="314">
        <f>+IF(Z62=[4]Listas!$E$46,[4]Listas!$F$46,IF(Z62=[4]Listas!$E$47,[4]Listas!$F$47,""))</f>
        <v>0.25</v>
      </c>
      <c r="AB62" s="181">
        <f>IFERROR(X62+AA62,"")</f>
        <v>0.5</v>
      </c>
      <c r="AC62" s="313" t="s">
        <v>57</v>
      </c>
      <c r="AD62" s="316" t="s">
        <v>58</v>
      </c>
      <c r="AE62" s="317" t="s">
        <v>59</v>
      </c>
      <c r="AF62" s="299" t="str">
        <f>IF(AG62="","",IF(AG62&lt;=20%,"Muy baja",IF(AG62&lt;=40%,"Baja",IF(AG62&lt;=60%,"Media",IF(AG62&lt;=80%,"Alta","Muy alta")))))</f>
        <v>Muy baja</v>
      </c>
      <c r="AG62" s="141">
        <f>IF(Y62=[4]Listas!$G$53,O62-(O62*AB62),O62)</f>
        <v>0.1</v>
      </c>
      <c r="AH62" s="561">
        <f>+IF(AG71="","",AG71)</f>
        <v>0.05</v>
      </c>
      <c r="AI62" s="299" t="str">
        <f>IF(AJ62="","",IF(AJ62&lt;=20%,"Leve",IF(AJ62&lt;=40%,"Menor",IF(AJ62&lt;=60%,"Moderado",IF(AJ62&lt;=80%,"Mayor","Catastrófico")))))</f>
        <v>Menor</v>
      </c>
      <c r="AJ62" s="141">
        <f>IF(Y62=[4]Listas!$G$55,R62-(R62*AB62),R62)</f>
        <v>0.4</v>
      </c>
      <c r="AK62" s="561">
        <f>+IF(AJ71="","",AJ71)</f>
        <v>0.4</v>
      </c>
      <c r="AL62" s="564" t="str">
        <f>+IF(AH62=0,"",IF(AH62&lt;=$BA$21,$BB$21,IF(AH62&lt;=$BA$20,$BB$20,IF(AH62&lt;=$BA$19,$BB$19,IF(AH62&lt;=$BA$18,$BB$18,IF(AH62&lt;=$BA$17,$BB$17,""))))))</f>
        <v>Muy Baja</v>
      </c>
      <c r="AM62" s="564" t="str">
        <f>+IF(AK62=0,"",IF(AK62&lt;=$BC$15,$BC$16,IF(AK62&lt;=$BD$15,$BD$16,IF(AK62&lt;=$BE$15,$BE$16,IF(AK62&lt;=$BF$15,$BF$16,IF(AK62&lt;=$BG$15,$BG$16,""))))))</f>
        <v>Menor</v>
      </c>
      <c r="AN62" s="564" t="str">
        <f>IF(AL62=$BB$17,IF(AM62=$BC$16,$BC$17,IF(AM62=$BD$16,$BD$17,IF(AM62=$BE$16,$BE$17,IF(AM62=$BF$16,$BF$17,IF(AM62=$BG$16,$BG$17))))),IF(AL62=$BB$18,IF(AM62=$BC$16,$BC$18,IF(AM62=$BD$16,$BD$18,IF(AM62=$BE$16,$BE$18,IF(AM62=$BF$16,$BF$18,IF(AM62=$BG$16,$BG$18))))),IF(AL62=$BB$19,IF(AM62=$BC$16,$BC$19,IF(AM62=$BD$16,$BD$19,IF(AM62=$BE$16,$BE$19,IF(AM62=$BF$16,$BF$19,IF(AM62=$BG$16,$BG$19))))),IF(AL62=$BB$20,IF(AM62=$BC$16,$BC$20,IF(AM62=$BD$16,$BD$20,IF(AM62=$BE$16,$BE$20,IF(AM62=$BF$16,$BF$20,IF(AM62=$BG$16,$BG$20))))),IF(AL62=$BB$21,IF(AM62=$BC$16,$BC$21,IF(AM62=$BD$16,$BD$21,IF(AM62=$BE$16,$BE$21,IF(AM62=$BF$16,$BF$21,IF(AM62=$BG$16,$BG$21))))),"")))))</f>
        <v>Bajo</v>
      </c>
      <c r="AO62" s="567" t="str">
        <f>IF(AP62="","",IF(AP62=[4]Listas!$F$61,[4]Listas!$G$61,IF(AP62=[4]Listas!$F$63,[4]Listas!$G$63,IF(AP62=[4]Listas!$F$64,[4]Listas!$G$64))))</f>
        <v>No requiere Plan de Acción</v>
      </c>
      <c r="AP62" s="570" t="str">
        <f>IF(AN62="","",IF(OR(AN62=[4]Listas!$E$61,AN62=[4]Listas!$E$62),[4]Listas!$F$61,IF(AN62=[4]Listas!$E$63,[4]Listas!$F$63,IF(AN62=[4]Listas!$E$64,[4]Listas!$F$64))))</f>
        <v>Aceptar  el riesgo</v>
      </c>
      <c r="AQ62" s="324" t="s">
        <v>90</v>
      </c>
      <c r="AR62" s="119" t="s">
        <v>261</v>
      </c>
    </row>
    <row r="63" spans="2:44" ht="254.25" customHeight="1" thickTop="1" thickBot="1" x14ac:dyDescent="0.4">
      <c r="B63" s="870"/>
      <c r="C63" s="559"/>
      <c r="D63" s="745"/>
      <c r="E63" s="577"/>
      <c r="F63" s="625"/>
      <c r="G63" s="628"/>
      <c r="H63" s="628"/>
      <c r="I63" s="589"/>
      <c r="J63" s="589"/>
      <c r="K63" s="592"/>
      <c r="L63" s="589"/>
      <c r="M63" s="595"/>
      <c r="N63" s="598"/>
      <c r="O63" s="601"/>
      <c r="P63" s="595"/>
      <c r="Q63" s="604"/>
      <c r="R63" s="601"/>
      <c r="S63" s="286"/>
      <c r="T63" s="604"/>
      <c r="U63" s="142" t="s">
        <v>174</v>
      </c>
      <c r="V63" s="423" t="s">
        <v>262</v>
      </c>
      <c r="W63" s="319" t="s">
        <v>40</v>
      </c>
      <c r="X63" s="320">
        <f>IF(W63=[4]Listas!$B$46,[4]Listas!$C$46,IF(W63=[4]Listas!$B$47,[4]Listas!$C$47,IF(W63=[4]Listas!$B$48,[4]Listas!$C$48,"")))</f>
        <v>0.25</v>
      </c>
      <c r="Y63" s="321" t="str">
        <f>IF(OR(W63=[4]Listas!$F$53,W63=[4]Listas!$F$54),[4]Listas!$G$53,IF(W63=[4]Listas!$F$55,[4]Listas!$G$55,""))</f>
        <v>Probabilidad</v>
      </c>
      <c r="Z63" s="319" t="s">
        <v>41</v>
      </c>
      <c r="AA63" s="182">
        <f>+IF(Z63=[4]Listas!$E$46,[4]Listas!$F$46,IF(Z63=[4]Listas!$E$47,[4]Listas!$F$47,""))</f>
        <v>0.25</v>
      </c>
      <c r="AB63" s="183">
        <f>IFERROR(X63+AA63,"")</f>
        <v>0.5</v>
      </c>
      <c r="AC63" s="319" t="s">
        <v>57</v>
      </c>
      <c r="AD63" s="322" t="s">
        <v>58</v>
      </c>
      <c r="AE63" s="323" t="s">
        <v>59</v>
      </c>
      <c r="AF63" s="305" t="str">
        <f t="shared" si="0"/>
        <v>Muy baja</v>
      </c>
      <c r="AG63" s="145">
        <f>IF(Y63=[4]Listas!$G$53,AG62-(AG62*AB63),AG62)</f>
        <v>0.05</v>
      </c>
      <c r="AH63" s="562"/>
      <c r="AI63" s="305" t="str">
        <f t="shared" si="4"/>
        <v>Menor</v>
      </c>
      <c r="AJ63" s="145">
        <f>IF(Y63=[4]Listas!$G$55,AJ62-(AJ62*AB63),AJ62)</f>
        <v>0.4</v>
      </c>
      <c r="AK63" s="562"/>
      <c r="AL63" s="565"/>
      <c r="AM63" s="565"/>
      <c r="AN63" s="565"/>
      <c r="AO63" s="568"/>
      <c r="AP63" s="571"/>
      <c r="AQ63" s="324" t="s">
        <v>90</v>
      </c>
      <c r="AR63" s="191" t="s">
        <v>263</v>
      </c>
    </row>
    <row r="64" spans="2:44" ht="15.65" hidden="1" customHeight="1" thickTop="1" thickBot="1" x14ac:dyDescent="0.4">
      <c r="B64" s="870"/>
      <c r="C64" s="559"/>
      <c r="D64" s="745"/>
      <c r="E64" s="577"/>
      <c r="F64" s="625"/>
      <c r="G64" s="628"/>
      <c r="H64" s="628"/>
      <c r="I64" s="589"/>
      <c r="J64" s="589"/>
      <c r="K64" s="592"/>
      <c r="L64" s="589"/>
      <c r="M64" s="595"/>
      <c r="N64" s="598"/>
      <c r="O64" s="601"/>
      <c r="P64" s="595"/>
      <c r="Q64" s="604"/>
      <c r="R64" s="601"/>
      <c r="S64" s="287"/>
      <c r="T64" s="604"/>
      <c r="U64" s="142" t="s">
        <v>180</v>
      </c>
      <c r="V64" s="415"/>
      <c r="W64" s="319"/>
      <c r="X64" s="320" t="str">
        <f>IF(W64=[4]Listas!$B$46,[4]Listas!$C$46,IF(W64=[4]Listas!$B$47,[4]Listas!$C$47,IF(W64=[4]Listas!$B$48,[4]Listas!$C$48,"")))</f>
        <v/>
      </c>
      <c r="Y64" s="321" t="str">
        <f>IF(OR(W64=[4]Listas!$F$53,W64=[4]Listas!$F$54),[4]Listas!$G$53,IF(W64=[4]Listas!$F$55,[4]Listas!$G$55,""))</f>
        <v/>
      </c>
      <c r="Z64" s="319"/>
      <c r="AA64" s="182" t="str">
        <f>+IF(Z64=[4]Listas!$E$46,[4]Listas!$F$46,IF(Z64=[4]Listas!$E$47,[4]Listas!$F$47,""))</f>
        <v/>
      </c>
      <c r="AB64" s="183" t="str">
        <f>IFERROR(X64+AA64,"")</f>
        <v/>
      </c>
      <c r="AC64" s="319"/>
      <c r="AD64" s="322"/>
      <c r="AE64" s="323"/>
      <c r="AF64" s="305" t="str">
        <f t="shared" si="0"/>
        <v>Muy baja</v>
      </c>
      <c r="AG64" s="145">
        <f>IF(Y64=[4]Listas!$G$53,AG63-(AG63*AB64),AG63)</f>
        <v>0.05</v>
      </c>
      <c r="AH64" s="562"/>
      <c r="AI64" s="305" t="str">
        <f t="shared" si="4"/>
        <v>Menor</v>
      </c>
      <c r="AJ64" s="145">
        <f>IF(Y64=[4]Listas!$G$55,AJ63-(AJ63*AB64),AJ63)</f>
        <v>0.4</v>
      </c>
      <c r="AK64" s="562"/>
      <c r="AL64" s="565"/>
      <c r="AM64" s="565"/>
      <c r="AN64" s="565"/>
      <c r="AO64" s="568"/>
      <c r="AP64" s="571"/>
      <c r="AQ64" s="344"/>
      <c r="AR64" s="191"/>
    </row>
    <row r="65" spans="2:70" ht="15.65" hidden="1" customHeight="1" thickTop="1" thickBot="1" x14ac:dyDescent="0.4">
      <c r="B65" s="870"/>
      <c r="C65" s="559"/>
      <c r="D65" s="745"/>
      <c r="E65" s="577"/>
      <c r="F65" s="625"/>
      <c r="G65" s="628"/>
      <c r="H65" s="628"/>
      <c r="I65" s="589"/>
      <c r="J65" s="589"/>
      <c r="K65" s="592"/>
      <c r="L65" s="589"/>
      <c r="M65" s="595"/>
      <c r="N65" s="598"/>
      <c r="O65" s="601"/>
      <c r="P65" s="595"/>
      <c r="Q65" s="604"/>
      <c r="R65" s="601"/>
      <c r="S65" s="287"/>
      <c r="T65" s="604"/>
      <c r="U65" s="142" t="s">
        <v>190</v>
      </c>
      <c r="V65" s="415"/>
      <c r="W65" s="319"/>
      <c r="X65" s="320" t="str">
        <f>IF(W65=[4]Listas!$B$46,[4]Listas!$C$46,IF(W65=[4]Listas!$B$47,[4]Listas!$C$47,IF(W65=[4]Listas!$B$48,[4]Listas!$C$48,"")))</f>
        <v/>
      </c>
      <c r="Y65" s="321" t="str">
        <f>IF(OR(W65=[4]Listas!$F$53,W65=[4]Listas!$F$54),[4]Listas!$G$53,IF(W65=[4]Listas!$F$55,[4]Listas!$G$55,""))</f>
        <v/>
      </c>
      <c r="Z65" s="319"/>
      <c r="AA65" s="182" t="str">
        <f>+IF(Z65=[4]Listas!$E$46,[4]Listas!$F$46,IF(Z65=[4]Listas!$E$47,[4]Listas!$F$47,""))</f>
        <v/>
      </c>
      <c r="AB65" s="183" t="str">
        <f t="shared" ref="AB65:AB71" si="8">IFERROR(X65+AA65,"")</f>
        <v/>
      </c>
      <c r="AC65" s="319"/>
      <c r="AD65" s="322"/>
      <c r="AE65" s="323"/>
      <c r="AF65" s="305" t="str">
        <f t="shared" si="0"/>
        <v>Muy baja</v>
      </c>
      <c r="AG65" s="145">
        <f>IF(Y65=[4]Listas!$G$53,AG64-(AG64*AB65),AG64)</f>
        <v>0.05</v>
      </c>
      <c r="AH65" s="562"/>
      <c r="AI65" s="305" t="str">
        <f t="shared" si="4"/>
        <v>Menor</v>
      </c>
      <c r="AJ65" s="145">
        <f>IF(Y65=[4]Listas!$G$55,AJ64-(AJ64*AB65),AJ64)</f>
        <v>0.4</v>
      </c>
      <c r="AK65" s="562"/>
      <c r="AL65" s="565"/>
      <c r="AM65" s="565"/>
      <c r="AN65" s="565"/>
      <c r="AO65" s="568"/>
      <c r="AP65" s="571"/>
      <c r="AQ65" s="344"/>
      <c r="AR65" s="191"/>
    </row>
    <row r="66" spans="2:70" ht="15.65" hidden="1" customHeight="1" thickTop="1" thickBot="1" x14ac:dyDescent="0.4">
      <c r="B66" s="870"/>
      <c r="C66" s="559"/>
      <c r="D66" s="745"/>
      <c r="E66" s="577"/>
      <c r="F66" s="625"/>
      <c r="G66" s="628"/>
      <c r="H66" s="628"/>
      <c r="I66" s="589"/>
      <c r="J66" s="589"/>
      <c r="K66" s="592"/>
      <c r="L66" s="589"/>
      <c r="M66" s="595"/>
      <c r="N66" s="598"/>
      <c r="O66" s="601"/>
      <c r="P66" s="595"/>
      <c r="Q66" s="604"/>
      <c r="R66" s="601"/>
      <c r="S66" s="287"/>
      <c r="T66" s="604"/>
      <c r="U66" s="142" t="s">
        <v>198</v>
      </c>
      <c r="V66" s="415"/>
      <c r="W66" s="319"/>
      <c r="X66" s="320" t="str">
        <f>IF(W66=[4]Listas!$B$46,[4]Listas!$C$46,IF(W66=[4]Listas!$B$47,[4]Listas!$C$47,IF(W66=[4]Listas!$B$48,[4]Listas!$C$48,"")))</f>
        <v/>
      </c>
      <c r="Y66" s="321" t="str">
        <f>IF(OR(W66=[4]Listas!$F$53,W66=[4]Listas!$F$54),[4]Listas!$G$53,IF(W66=[4]Listas!$F$55,[4]Listas!$G$55,""))</f>
        <v/>
      </c>
      <c r="Z66" s="319"/>
      <c r="AA66" s="182" t="str">
        <f>+IF(Z66=[4]Listas!$E$46,[4]Listas!$F$46,IF(Z66=[4]Listas!$E$47,[4]Listas!$F$47,""))</f>
        <v/>
      </c>
      <c r="AB66" s="183" t="str">
        <f t="shared" si="8"/>
        <v/>
      </c>
      <c r="AC66" s="319"/>
      <c r="AD66" s="322"/>
      <c r="AE66" s="323"/>
      <c r="AF66" s="305" t="str">
        <f t="shared" si="0"/>
        <v>Muy baja</v>
      </c>
      <c r="AG66" s="145">
        <f>IF(Y66=[4]Listas!$G$53,AG65-(AG65*AB66),AG65)</f>
        <v>0.05</v>
      </c>
      <c r="AH66" s="562"/>
      <c r="AI66" s="305" t="str">
        <f t="shared" si="4"/>
        <v>Menor</v>
      </c>
      <c r="AJ66" s="145">
        <f>IF(Y66=[4]Listas!$G$55,AJ65-(AJ65*AB66),AJ65)</f>
        <v>0.4</v>
      </c>
      <c r="AK66" s="562"/>
      <c r="AL66" s="565"/>
      <c r="AM66" s="565"/>
      <c r="AN66" s="565"/>
      <c r="AO66" s="568"/>
      <c r="AP66" s="571"/>
      <c r="AQ66" s="344"/>
      <c r="AR66" s="191"/>
    </row>
    <row r="67" spans="2:70" ht="16" hidden="1" customHeight="1" thickTop="1" thickBot="1" x14ac:dyDescent="0.4">
      <c r="B67" s="870"/>
      <c r="C67" s="559"/>
      <c r="D67" s="745"/>
      <c r="E67" s="577"/>
      <c r="F67" s="625"/>
      <c r="G67" s="628"/>
      <c r="H67" s="628"/>
      <c r="I67" s="589"/>
      <c r="J67" s="589"/>
      <c r="K67" s="592"/>
      <c r="L67" s="589"/>
      <c r="M67" s="595"/>
      <c r="N67" s="598"/>
      <c r="O67" s="601"/>
      <c r="P67" s="595"/>
      <c r="Q67" s="604"/>
      <c r="R67" s="601"/>
      <c r="S67" s="288"/>
      <c r="T67" s="604"/>
      <c r="U67" s="142" t="s">
        <v>208</v>
      </c>
      <c r="V67" s="415"/>
      <c r="W67" s="319"/>
      <c r="X67" s="320" t="str">
        <f>IF(W67=[4]Listas!$B$46,[4]Listas!$C$46,IF(W67=[4]Listas!$B$47,[4]Listas!$C$47,IF(W67=[4]Listas!$B$48,[4]Listas!$C$48,"")))</f>
        <v/>
      </c>
      <c r="Y67" s="321" t="str">
        <f>IF(OR(W67=[4]Listas!$F$53,W67=[4]Listas!$F$54),[4]Listas!$G$53,IF(W67=[4]Listas!$F$55,[4]Listas!$G$55,""))</f>
        <v/>
      </c>
      <c r="Z67" s="319"/>
      <c r="AA67" s="182" t="str">
        <f>+IF(Z67=[4]Listas!$E$46,[4]Listas!$F$46,IF(Z67=[4]Listas!$E$47,[4]Listas!$F$47,""))</f>
        <v/>
      </c>
      <c r="AB67" s="183" t="str">
        <f t="shared" si="8"/>
        <v/>
      </c>
      <c r="AC67" s="319"/>
      <c r="AD67" s="322"/>
      <c r="AE67" s="323"/>
      <c r="AF67" s="305" t="str">
        <f t="shared" si="0"/>
        <v>Muy baja</v>
      </c>
      <c r="AG67" s="145">
        <f>IF(Y67=[4]Listas!$G$53,AG66-(AG66*AB67),AG66)</f>
        <v>0.05</v>
      </c>
      <c r="AH67" s="562"/>
      <c r="AI67" s="305" t="str">
        <f t="shared" si="4"/>
        <v>Menor</v>
      </c>
      <c r="AJ67" s="145">
        <f>IF(Y67=[4]Listas!$G$55,AJ66-(AJ66*AB67),AJ66)</f>
        <v>0.4</v>
      </c>
      <c r="AK67" s="562"/>
      <c r="AL67" s="565"/>
      <c r="AM67" s="565"/>
      <c r="AN67" s="565"/>
      <c r="AO67" s="568"/>
      <c r="AP67" s="571"/>
      <c r="AQ67" s="344"/>
      <c r="AR67" s="191"/>
    </row>
    <row r="68" spans="2:70" ht="15.65" hidden="1" customHeight="1" thickTop="1" thickBot="1" x14ac:dyDescent="0.4">
      <c r="B68" s="870"/>
      <c r="C68" s="559"/>
      <c r="D68" s="745"/>
      <c r="E68" s="577"/>
      <c r="F68" s="625"/>
      <c r="G68" s="628"/>
      <c r="H68" s="628"/>
      <c r="I68" s="589"/>
      <c r="J68" s="589"/>
      <c r="K68" s="592"/>
      <c r="L68" s="589"/>
      <c r="M68" s="595"/>
      <c r="N68" s="598"/>
      <c r="O68" s="601"/>
      <c r="P68" s="595"/>
      <c r="Q68" s="604"/>
      <c r="R68" s="601"/>
      <c r="S68" s="289"/>
      <c r="T68" s="604"/>
      <c r="U68" s="142" t="s">
        <v>215</v>
      </c>
      <c r="V68" s="418"/>
      <c r="W68" s="331"/>
      <c r="X68" s="320" t="str">
        <f>IF(W68=[4]Listas!$B$46,[4]Listas!$C$46,IF(W68=[4]Listas!$B$47,[4]Listas!$C$47,IF(W68=[4]Listas!$B$48,[4]Listas!$C$48,"")))</f>
        <v/>
      </c>
      <c r="Y68" s="321" t="str">
        <f>IF(OR(W68=[4]Listas!$F$53,W68=[4]Listas!$F$54),[4]Listas!$G$53,IF(W68=[4]Listas!$F$55,[4]Listas!$G$55,""))</f>
        <v/>
      </c>
      <c r="Z68" s="331"/>
      <c r="AA68" s="182" t="str">
        <f>+IF(Z68=[4]Listas!$E$46,[4]Listas!$F$46,IF(Z68=[4]Listas!$E$47,[4]Listas!$F$47,""))</f>
        <v/>
      </c>
      <c r="AB68" s="183" t="str">
        <f t="shared" si="8"/>
        <v/>
      </c>
      <c r="AC68" s="319"/>
      <c r="AD68" s="322"/>
      <c r="AE68" s="323"/>
      <c r="AF68" s="305" t="str">
        <f t="shared" si="0"/>
        <v>Muy baja</v>
      </c>
      <c r="AG68" s="145">
        <f>IF(Y68=[4]Listas!$G$53,AG67-(AG67*AB68),AG67)</f>
        <v>0.05</v>
      </c>
      <c r="AH68" s="562"/>
      <c r="AI68" s="305" t="str">
        <f t="shared" si="4"/>
        <v>Menor</v>
      </c>
      <c r="AJ68" s="145">
        <f>IF(Y68=[4]Listas!$G$55,AJ67-(AJ67*AB68),AJ67)</f>
        <v>0.4</v>
      </c>
      <c r="AK68" s="562"/>
      <c r="AL68" s="565"/>
      <c r="AM68" s="565"/>
      <c r="AN68" s="565"/>
      <c r="AO68" s="568"/>
      <c r="AP68" s="571"/>
      <c r="AQ68" s="344"/>
      <c r="AR68" s="191"/>
    </row>
    <row r="69" spans="2:70" ht="15.65" hidden="1" customHeight="1" thickTop="1" thickBot="1" x14ac:dyDescent="0.4">
      <c r="B69" s="870"/>
      <c r="C69" s="559"/>
      <c r="D69" s="745"/>
      <c r="E69" s="577"/>
      <c r="F69" s="625"/>
      <c r="G69" s="628"/>
      <c r="H69" s="628"/>
      <c r="I69" s="589"/>
      <c r="J69" s="589"/>
      <c r="K69" s="592"/>
      <c r="L69" s="589"/>
      <c r="M69" s="595"/>
      <c r="N69" s="598"/>
      <c r="O69" s="601"/>
      <c r="P69" s="595"/>
      <c r="Q69" s="604"/>
      <c r="R69" s="601"/>
      <c r="S69" s="289"/>
      <c r="T69" s="604"/>
      <c r="U69" s="142" t="s">
        <v>220</v>
      </c>
      <c r="V69" s="418"/>
      <c r="W69" s="331"/>
      <c r="X69" s="320" t="str">
        <f>IF(W69=[4]Listas!$B$46,[4]Listas!$C$46,IF(W69=[4]Listas!$B$47,[4]Listas!$C$47,IF(W69=[4]Listas!$B$48,[4]Listas!$C$48,"")))</f>
        <v/>
      </c>
      <c r="Y69" s="321" t="str">
        <f>IF(OR(W69=[4]Listas!$F$53,W69=[4]Listas!$F$54),[4]Listas!$G$53,IF(W69=[4]Listas!$F$55,[4]Listas!$G$55,""))</f>
        <v/>
      </c>
      <c r="Z69" s="331"/>
      <c r="AA69" s="182" t="str">
        <f>+IF(Z69=[4]Listas!$E$46,[4]Listas!$F$46,IF(Z69=[4]Listas!$E$47,[4]Listas!$F$47,""))</f>
        <v/>
      </c>
      <c r="AB69" s="183" t="str">
        <f t="shared" si="8"/>
        <v/>
      </c>
      <c r="AC69" s="319"/>
      <c r="AD69" s="322"/>
      <c r="AE69" s="323"/>
      <c r="AF69" s="305" t="str">
        <f t="shared" si="0"/>
        <v>Muy baja</v>
      </c>
      <c r="AG69" s="145">
        <f>IF(Y69=[4]Listas!$G$53,AG68-(AG68*AB69),AG68)</f>
        <v>0.05</v>
      </c>
      <c r="AH69" s="562"/>
      <c r="AI69" s="305" t="str">
        <f t="shared" si="4"/>
        <v>Menor</v>
      </c>
      <c r="AJ69" s="145">
        <f>IF(Y69=[4]Listas!$G$55,AJ68-(AJ68*AB69),AJ68)</f>
        <v>0.4</v>
      </c>
      <c r="AK69" s="562"/>
      <c r="AL69" s="565"/>
      <c r="AM69" s="565"/>
      <c r="AN69" s="565"/>
      <c r="AO69" s="568"/>
      <c r="AP69" s="571"/>
      <c r="AQ69" s="344"/>
      <c r="AR69" s="191"/>
    </row>
    <row r="70" spans="2:70" ht="15.65" hidden="1" customHeight="1" thickTop="1" thickBot="1" x14ac:dyDescent="0.4">
      <c r="B70" s="870"/>
      <c r="C70" s="559"/>
      <c r="D70" s="745"/>
      <c r="E70" s="577"/>
      <c r="F70" s="625"/>
      <c r="G70" s="628"/>
      <c r="H70" s="628"/>
      <c r="I70" s="589"/>
      <c r="J70" s="589"/>
      <c r="K70" s="592"/>
      <c r="L70" s="589"/>
      <c r="M70" s="595"/>
      <c r="N70" s="598"/>
      <c r="O70" s="601"/>
      <c r="P70" s="595"/>
      <c r="Q70" s="604"/>
      <c r="R70" s="601"/>
      <c r="S70" s="289"/>
      <c r="T70" s="604"/>
      <c r="U70" s="142" t="s">
        <v>223</v>
      </c>
      <c r="V70" s="418"/>
      <c r="W70" s="331"/>
      <c r="X70" s="320" t="str">
        <f>IF(W70=[4]Listas!$B$46,[4]Listas!$C$46,IF(W70=[4]Listas!$B$47,[4]Listas!$C$47,IF(W70=[4]Listas!$B$48,[4]Listas!$C$48,"")))</f>
        <v/>
      </c>
      <c r="Y70" s="321" t="str">
        <f>IF(OR(W70=[4]Listas!$F$53,W70=[4]Listas!$F$54),[4]Listas!$G$53,IF(W70=[4]Listas!$F$55,[4]Listas!$G$55,""))</f>
        <v/>
      </c>
      <c r="Z70" s="331"/>
      <c r="AA70" s="182" t="str">
        <f>+IF(Z70=[4]Listas!$E$46,[4]Listas!$F$46,IF(Z70=[4]Listas!$E$47,[4]Listas!$F$47,""))</f>
        <v/>
      </c>
      <c r="AB70" s="183" t="str">
        <f t="shared" si="8"/>
        <v/>
      </c>
      <c r="AC70" s="319"/>
      <c r="AD70" s="322"/>
      <c r="AE70" s="323"/>
      <c r="AF70" s="305" t="str">
        <f t="shared" si="0"/>
        <v>Muy baja</v>
      </c>
      <c r="AG70" s="145">
        <f>IF(Y70=[4]Listas!$G$53,AG69-(AG69*AB70),AG69)</f>
        <v>0.05</v>
      </c>
      <c r="AH70" s="562"/>
      <c r="AI70" s="305" t="str">
        <f t="shared" si="4"/>
        <v>Menor</v>
      </c>
      <c r="AJ70" s="145">
        <f>IF(Y70=[4]Listas!$G$55,AJ69-(AJ69*AB70),AJ69)</f>
        <v>0.4</v>
      </c>
      <c r="AK70" s="562"/>
      <c r="AL70" s="565"/>
      <c r="AM70" s="565"/>
      <c r="AN70" s="565"/>
      <c r="AO70" s="568"/>
      <c r="AP70" s="571"/>
      <c r="AQ70" s="344"/>
      <c r="AR70" s="191"/>
    </row>
    <row r="71" spans="2:70" ht="16" hidden="1" customHeight="1" thickTop="1" thickBot="1" x14ac:dyDescent="0.4">
      <c r="B71" s="870"/>
      <c r="C71" s="559"/>
      <c r="D71" s="745"/>
      <c r="E71" s="577"/>
      <c r="F71" s="626"/>
      <c r="G71" s="629"/>
      <c r="H71" s="629"/>
      <c r="I71" s="590"/>
      <c r="J71" s="590"/>
      <c r="K71" s="593"/>
      <c r="L71" s="589"/>
      <c r="M71" s="595"/>
      <c r="N71" s="599"/>
      <c r="O71" s="602"/>
      <c r="P71" s="596"/>
      <c r="Q71" s="605"/>
      <c r="R71" s="602"/>
      <c r="S71" s="290"/>
      <c r="T71" s="605"/>
      <c r="U71" s="142" t="s">
        <v>224</v>
      </c>
      <c r="V71" s="416"/>
      <c r="W71" s="335"/>
      <c r="X71" s="336" t="str">
        <f>IF(W71=[4]Listas!$B$46,[4]Listas!$C$46,IF(W71=[4]Listas!$B$47,[4]Listas!$C$47,IF(W71=[4]Listas!$B$48,[4]Listas!$C$48,"")))</f>
        <v/>
      </c>
      <c r="Y71" s="337" t="str">
        <f>IF(OR(W71=[4]Listas!$F$53,W71=[4]Listas!$F$54),[4]Listas!$G$53,IF(W71=[4]Listas!$F$55,[4]Listas!$G$55,""))</f>
        <v/>
      </c>
      <c r="Z71" s="335"/>
      <c r="AA71" s="186" t="str">
        <f>+IF(Z71=[4]Listas!$E$46,[4]Listas!$F$46,IF(Z71=[4]Listas!$E$47,[4]Listas!$F$47,""))</f>
        <v/>
      </c>
      <c r="AB71" s="187" t="str">
        <f t="shared" si="8"/>
        <v/>
      </c>
      <c r="AC71" s="338"/>
      <c r="AD71" s="339"/>
      <c r="AE71" s="340"/>
      <c r="AF71" s="311" t="str">
        <f t="shared" si="0"/>
        <v>Muy baja</v>
      </c>
      <c r="AG71" s="179">
        <f>IF(Y71=[4]Listas!$G$53,AG70-(AG70*AB71),AG70)</f>
        <v>0.05</v>
      </c>
      <c r="AH71" s="563"/>
      <c r="AI71" s="311" t="str">
        <f t="shared" si="4"/>
        <v>Menor</v>
      </c>
      <c r="AJ71" s="179">
        <f>IF(Y71=[4]Listas!$G$55,AJ70-(AJ70*AB71),AJ70)</f>
        <v>0.4</v>
      </c>
      <c r="AK71" s="563"/>
      <c r="AL71" s="566"/>
      <c r="AM71" s="566"/>
      <c r="AN71" s="566"/>
      <c r="AO71" s="569"/>
      <c r="AP71" s="572"/>
      <c r="AQ71" s="346"/>
      <c r="AR71" s="192"/>
    </row>
    <row r="72" spans="2:70" ht="201" customHeight="1" thickTop="1" thickBot="1" x14ac:dyDescent="0.4">
      <c r="B72" s="870"/>
      <c r="C72" s="559" t="s">
        <v>94</v>
      </c>
      <c r="D72" s="760" t="s">
        <v>264</v>
      </c>
      <c r="E72" s="576" t="s">
        <v>4</v>
      </c>
      <c r="F72" s="816" t="s">
        <v>265</v>
      </c>
      <c r="G72" s="786" t="s">
        <v>266</v>
      </c>
      <c r="H72" s="788" t="s">
        <v>267</v>
      </c>
      <c r="I72" s="588" t="s">
        <v>20</v>
      </c>
      <c r="J72" s="588" t="s">
        <v>22</v>
      </c>
      <c r="K72" s="591"/>
      <c r="L72" s="588" t="s">
        <v>168</v>
      </c>
      <c r="M72" s="594" t="s">
        <v>222</v>
      </c>
      <c r="N72" s="597" t="str">
        <f>+IF(M72="","",IF(M72=$BO$15,$BN$15,IF(M72=$BO$16,$BN$16,IF(M72=$BO$17,$BN$17,IF(M72=$BO$18,$BN$18,IF(M72=$BO$19,$BN$19))))))</f>
        <v>Muy Alta</v>
      </c>
      <c r="O72" s="600">
        <f>+IF(M72="","",IF(M72=$BO$15,$BR$15,IF(M72=$BO$16,$BR$16,IF(M72=$BO$17,$BR$17,IF(M72=$BO$18,$BR$18,IF(M72=$BO$19,$BR$19))))))</f>
        <v>1</v>
      </c>
      <c r="P72" s="594" t="s">
        <v>204</v>
      </c>
      <c r="Q72" s="603" t="str">
        <f>+IF(P72="","",IF(P72='[5]Mapa de Calor inherente'!$AF$6,'[5]Mapa de Calor inherente'!$AD$6,IF(P72='[5]Mapa de Calor inherente'!$AF$7,'[5]Mapa de Calor inherente'!$AD$7,IF(P72='[5]Mapa de Calor inherente'!$AF$8,'[5]Mapa de Calor inherente'!$AD$8,IF(P72='[5]Mapa de Calor inherente'!$AF$9,'[5]Mapa de Calor inherente'!$AD$9,IF(P72='[5]Mapa de Calor inherente'!$AF$10,'[5]Mapa de Calor inherente'!$AD$10,IF(P72='[5]Mapa de Calor inherente'!$AG$6,'[5]Mapa de Calor inherente'!$AD$6,IF(P72='[5]Mapa de Calor inherente'!$AG$7,'[5]Mapa de Calor inherente'!$AD$7,IF(P72='[5]Mapa de Calor inherente'!$AG$8,'[5]Mapa de Calor inherente'!$AD$8,IF(P72='[5]Mapa de Calor inherente'!$AG$9,'[5]Mapa de Calor inherente'!$AD$9,IF(P72='[5]Mapa de Calor inherente'!$AG$10,'[5]Mapa de Calor inherente'!$AD$10,IF(P72='[5]Mapa de Calor inherente'!$AD$8,'[5]Mapa de Calor inherente'!$AD$8,IF(P72='[5]Mapa de Calor inherente'!$AD$9,'[5]Mapa de Calor inherente'!$AD$9,IF(P72='[5]Mapa de Calor inherente'!$AD$10,'[5]Mapa de Calor inherente'!$AD$10))))))))))))))</f>
        <v>Menor</v>
      </c>
      <c r="R72" s="600">
        <f>+IF(P72="","",IF(P72='[5]Mapa de Calor inherente'!$AF$6,'[5]Mapa de Calor inherente'!$AE$6,IF(P72='[5]Mapa de Calor inherente'!$AF$7,'[5]Mapa de Calor inherente'!$AE$7,IF(P72='[5]Mapa de Calor inherente'!$AF$8,'[5]Mapa de Calor inherente'!$AE$8,IF(P72='[5]Mapa de Calor inherente'!$AF$9,'[5]Mapa de Calor inherente'!$AE$9,IF(P72='[5]Mapa de Calor inherente'!$AF$10,'[5]Mapa de Calor inherente'!$AE$10,IF(P72='[5]Mapa de Calor inherente'!$AG$6,'[5]Mapa de Calor inherente'!$AE$6,IF(P72='[5]Mapa de Calor inherente'!$AG$7,'[5]Mapa de Calor inherente'!$AE$7,IF(P72='[5]Mapa de Calor inherente'!$AG$8,'[5]Mapa de Calor inherente'!$AE$8,IF(P72='[5]Mapa de Calor inherente'!$AG$9,'[5]Mapa de Calor inherente'!$AE$9,IF(P72='[5]Mapa de Calor inherente'!$AG$10,'[5]Mapa de Calor inherente'!$AE$10,IF(P72='[5]Mapa de Calor inherente'!$AD$8,'[5]Mapa de Calor inherente'!$AE$8,IF(P72='[5]Mapa de Calor inherente'!$AD$9,'[5]Mapa de Calor inherente'!$AE$9,IF(P72='[5]Mapa de Calor inherente'!$AD$10,'[5]Mapa de Calor inherente'!$AE$10))))))))))))))</f>
        <v>0.4</v>
      </c>
      <c r="S72" s="282">
        <f>IF(O72="","",IF(R72="","",(O72*R72)))</f>
        <v>0.4</v>
      </c>
      <c r="T72" s="603" t="str">
        <f>+IF(N72=$BB$17,IF(Q72=$BC$16,$BC$17,IF(Q72=$BD$16,$BD$17,IF(Q72=$BE$16,$BE$17,IF(Q72=$BF$16,$BF$17,IF(Q72=$BG$16,$BG$17))))),IF(N72=$BB$18,IF(Q72=$BC$16,$BC$18,IF(Q72=$BD$16,$BD$18,IF(Q72=$BE$16,$BE$18,IF(Q72=$BF$16,$BF$18,IF(Q72=$BG$16,$BG$18))))),IF(N72=$BB$19,IF(Q72=$BC$16,$BC$19,IF(Q72=$BD$16,$BD$19,IF(Q72=$BE$16,$BE$19,IF(Q72=$BF$16,$BF$19,IF(Q72=$BG$16,$BG$19))))),IF(N72=$BB$20,IF(Q72=$BC$16,$BC$20,IF(Q72=$BD$16,$BD$20,IF(Q72=$BE$16,$BE$20,IF(Q72=$BF$16,$BF$20,IF(Q72=$BG$16,$BG$20))))),IF(N72=$BB$21,IF(Q72=$BC$16,$BC$21,IF(Q72=$BD$16,$BD$21,IF(Q72=$BE$16,$BE$21,IF(Q72=$BF$16,$BF$21,IF(Q72=$BG$16,$BG$21))))),"")))))</f>
        <v>Alto</v>
      </c>
      <c r="U72" s="139" t="s">
        <v>171</v>
      </c>
      <c r="V72" s="424" t="s">
        <v>268</v>
      </c>
      <c r="W72" s="295" t="s">
        <v>40</v>
      </c>
      <c r="X72" s="296">
        <f>IF(W72=[5]Listas!$B$46,[5]Listas!$C$46,IF(W72=[5]Listas!$B$47,[5]Listas!$C$47,IF(W72=[5]Listas!$B$48,[5]Listas!$C$48,"")))</f>
        <v>0.25</v>
      </c>
      <c r="Y72" s="297" t="str">
        <f>IF(OR(W72=[5]Listas!$F$53,W72=[5]Listas!$F$54),[5]Listas!$G$53,IF(W72=[5]Listas!$F$55,[5]Listas!$G$55,""))</f>
        <v>Probabilidad</v>
      </c>
      <c r="Z72" s="295" t="s">
        <v>43</v>
      </c>
      <c r="AA72" s="296">
        <f>+IF(Z72=[5]Listas!$E$46,[5]Listas!$F$46,IF(Z72=[5]Listas!$E$47,[5]Listas!$F$47,""))</f>
        <v>0.15</v>
      </c>
      <c r="AB72" s="140">
        <f>IFERROR(X72+AA72,"")</f>
        <v>0.4</v>
      </c>
      <c r="AC72" s="291" t="s">
        <v>57</v>
      </c>
      <c r="AD72" s="295" t="s">
        <v>58</v>
      </c>
      <c r="AE72" s="298" t="s">
        <v>59</v>
      </c>
      <c r="AF72" s="299" t="str">
        <f t="shared" si="0"/>
        <v>Media</v>
      </c>
      <c r="AG72" s="141">
        <f>IF(Y72=[5]Listas!$G$53,O72-(O72*AB72),O72)</f>
        <v>0.6</v>
      </c>
      <c r="AH72" s="561">
        <f>+IF(AG81="","",AG81)</f>
        <v>0.6</v>
      </c>
      <c r="AI72" s="299" t="str">
        <f>IF(AJ72="","",IF(AJ72&lt;=20%,"Leve",IF(AJ72&lt;=40%,"Menor",IF(AJ72&lt;=60%,"Moderado",IF(AJ72&lt;=80%,"Mayor","Catastrófico")))))</f>
        <v>Menor</v>
      </c>
      <c r="AJ72" s="141">
        <f>IF(Y72=[5]Listas!$G$55,R72-(R72*AB72),R72)</f>
        <v>0.4</v>
      </c>
      <c r="AK72" s="561">
        <f>+IF(AJ81="","",AJ81)</f>
        <v>0.4</v>
      </c>
      <c r="AL72" s="564" t="str">
        <f>+IF(AH72=0,"",IF(AH72&lt;=$BA$21,$BB$21,IF(AH72&lt;=$BA$20,$BB$20,IF(AH72&lt;=$BA$19,$BB$19,IF(AH72&lt;=$BA$18,$BB$18,IF(AH72&lt;=$BA$17,$BB$17,""))))))</f>
        <v>Media</v>
      </c>
      <c r="AM72" s="564" t="str">
        <f>+IF(AK72=0,"",IF(AK72&lt;=$BC$15,$BC$16,IF(AK72&lt;=$BD$15,$BD$16,IF(AK72&lt;=$BE$15,$BE$16,IF(AK72&lt;=$BF$15,$BF$16,IF(AK72&lt;=$BG$15,$BG$16,""))))))</f>
        <v>Menor</v>
      </c>
      <c r="AN72" s="564" t="str">
        <f>IF(AL72=$BB$17,IF(AM72=$BC$16,$BC$17,IF(AM72=$BD$16,$BD$17,IF(AM72=$BE$16,$BE$17,IF(AM72=$BF$16,$BF$17,IF(AM72=$BG$16,$BG$17))))),IF(AL72=$BB$18,IF(AM72=$BC$16,$BC$18,IF(AM72=$BD$16,$BD$18,IF(AM72=$BE$16,$BE$18,IF(AM72=$BF$16,$BF$18,IF(AM72=$BG$16,$BG$18))))),IF(AL72=$BB$19,IF(AM72=$BC$16,$BC$19,IF(AM72=$BD$16,$BD$19,IF(AM72=$BE$16,$BE$19,IF(AM72=$BF$16,$BF$19,IF(AM72=$BG$16,$BG$19))))),IF(AL72=$BB$20,IF(AM72=$BC$16,$BC$20,IF(AM72=$BD$16,$BD$20,IF(AM72=$BE$16,$BE$20,IF(AM72=$BF$16,$BF$20,IF(AM72=$BG$16,$BG$20))))),IF(AL72=$BB$21,IF(AM72=$BC$16,$BC$21,IF(AM72=$BD$16,$BD$21,IF(AM72=$BE$16,$BE$21,IF(AM72=$BF$16,$BF$21,IF(AM72=$BG$16,$BG$21))))),"")))))</f>
        <v>Moderado</v>
      </c>
      <c r="AO72" s="567" t="str">
        <f>IF(AP72="","",IF(AP72=[5]Listas!$F$61,[5]Listas!$G$61,IF(AP72=[5]Listas!$F$63,[5]Listas!$G$63,IF(AP72=[5]Listas!$F$64,[5]Listas!$G$64))))</f>
        <v>Requiere Plan de Acción</v>
      </c>
      <c r="AP72" s="630" t="str">
        <f>IF(AN72="","",IF(OR(AN72=[5]Listas!$E$61,AN72=[5]Listas!$E$62),[5]Listas!$F$61,IF(AN72=[5]Listas!$E$63,[5]Listas!$F$63,IF(AN72=[5]Listas!$E$64,[5]Listas!$F$64))))</f>
        <v>Aceptar o reducir el riesgo</v>
      </c>
      <c r="AQ72" s="300" t="s">
        <v>80</v>
      </c>
      <c r="AR72" s="116" t="s">
        <v>269</v>
      </c>
    </row>
    <row r="73" spans="2:70" ht="75.650000000000006" customHeight="1" thickTop="1" thickBot="1" x14ac:dyDescent="0.35">
      <c r="B73" s="870"/>
      <c r="C73" s="559"/>
      <c r="D73" s="761"/>
      <c r="E73" s="577"/>
      <c r="F73" s="817"/>
      <c r="G73" s="686"/>
      <c r="H73" s="689"/>
      <c r="I73" s="589"/>
      <c r="J73" s="589"/>
      <c r="K73" s="592"/>
      <c r="L73" s="589"/>
      <c r="M73" s="595"/>
      <c r="N73" s="598"/>
      <c r="O73" s="601"/>
      <c r="P73" s="595"/>
      <c r="Q73" s="604"/>
      <c r="R73" s="601"/>
      <c r="S73" s="283"/>
      <c r="T73" s="604"/>
      <c r="U73" s="142" t="s">
        <v>174</v>
      </c>
      <c r="V73" s="415"/>
      <c r="W73" s="301"/>
      <c r="X73" s="302" t="str">
        <f>IF(W73=[5]Listas!$B$46,[5]Listas!$C$46,IF(W73=[5]Listas!$B$47,[5]Listas!$C$47,IF(W73=[5]Listas!$B$48,[5]Listas!$C$48,"")))</f>
        <v/>
      </c>
      <c r="Y73" s="303" t="str">
        <f>IF(OR(W73=[5]Listas!$F$53,W73=[5]Listas!$F$54),[5]Listas!$G$53,IF(W73=[5]Listas!$F$55,[5]Listas!$G$55,""))</f>
        <v/>
      </c>
      <c r="Z73" s="301"/>
      <c r="AA73" s="143" t="str">
        <f>+IF(Z73=[5]Listas!$E$46,[5]Listas!$F$46,IF(Z73=[5]Listas!$E$47,[5]Listas!$F$47,""))</f>
        <v/>
      </c>
      <c r="AB73" s="144" t="str">
        <f>IFERROR(X73+AA73,"")</f>
        <v/>
      </c>
      <c r="AC73" s="301"/>
      <c r="AD73" s="301"/>
      <c r="AE73" s="304"/>
      <c r="AF73" s="305" t="str">
        <f t="shared" si="0"/>
        <v>Media</v>
      </c>
      <c r="AG73" s="145">
        <f>IF(Y73=[5]Listas!$G$53,AG72-(AG72*AB73),AG72)</f>
        <v>0.6</v>
      </c>
      <c r="AH73" s="562"/>
      <c r="AI73" s="305" t="str">
        <f t="shared" ref="AI73:AI121" si="9">IF(AJ73="","",IF(AJ73&lt;=20%,"Leve",IF(AJ73&lt;=40%,"Menor",IF(AJ73&lt;=60%,"Moderado",IF(AJ73&lt;=80%,"Mayor","Catastrófico")))))</f>
        <v>Menor</v>
      </c>
      <c r="AJ73" s="145">
        <f>IF(Y73=[5]Listas!$G$55,AJ72-(AJ72*AB73),AJ72)</f>
        <v>0.4</v>
      </c>
      <c r="AK73" s="562"/>
      <c r="AL73" s="565"/>
      <c r="AM73" s="565"/>
      <c r="AN73" s="565"/>
      <c r="AO73" s="568"/>
      <c r="AP73" s="631"/>
      <c r="AQ73" s="306" t="s">
        <v>90</v>
      </c>
      <c r="AR73" s="193" t="s">
        <v>270</v>
      </c>
      <c r="AZ73" s="633" t="s">
        <v>177</v>
      </c>
      <c r="BA73" s="634"/>
      <c r="BB73" s="634"/>
      <c r="BC73" s="634"/>
      <c r="BD73" s="634"/>
      <c r="BE73" s="634"/>
      <c r="BF73" s="634"/>
      <c r="BG73" s="635"/>
      <c r="BI73" s="636" t="s">
        <v>178</v>
      </c>
      <c r="BJ73" s="637"/>
      <c r="BK73" s="637"/>
      <c r="BL73" s="638"/>
      <c r="BN73" s="639" t="s">
        <v>179</v>
      </c>
      <c r="BO73" s="640"/>
      <c r="BP73" s="641"/>
      <c r="BQ73" s="641"/>
      <c r="BR73" s="642"/>
    </row>
    <row r="74" spans="2:70" ht="33" hidden="1" customHeight="1" thickTop="1" thickBot="1" x14ac:dyDescent="0.35">
      <c r="B74" s="870"/>
      <c r="C74" s="559"/>
      <c r="D74" s="761"/>
      <c r="E74" s="577"/>
      <c r="F74" s="817"/>
      <c r="G74" s="686"/>
      <c r="H74" s="689"/>
      <c r="I74" s="589"/>
      <c r="J74" s="589"/>
      <c r="K74" s="592"/>
      <c r="L74" s="589"/>
      <c r="M74" s="595"/>
      <c r="N74" s="598"/>
      <c r="O74" s="601"/>
      <c r="P74" s="595"/>
      <c r="Q74" s="604"/>
      <c r="R74" s="601"/>
      <c r="S74" s="283"/>
      <c r="T74" s="604"/>
      <c r="U74" s="142" t="s">
        <v>180</v>
      </c>
      <c r="V74" s="415"/>
      <c r="W74" s="301"/>
      <c r="X74" s="302" t="str">
        <f>IF(W74=[5]Listas!$B$46,[5]Listas!$C$46,IF(W74=[5]Listas!$B$47,[5]Listas!$C$47,IF(W74=[5]Listas!$B$48,[5]Listas!$C$48,"")))</f>
        <v/>
      </c>
      <c r="Y74" s="303" t="str">
        <f>IF(OR(W74=[5]Listas!$F$53,W74=[5]Listas!$F$54),[5]Listas!$G$53,IF(W74=[5]Listas!$F$55,[5]Listas!$G$55,""))</f>
        <v/>
      </c>
      <c r="Z74" s="301"/>
      <c r="AA74" s="143" t="str">
        <f>+IF(Z74=[5]Listas!$E$46,[5]Listas!$F$46,IF(Z74=[5]Listas!$E$47,[5]Listas!$F$47,""))</f>
        <v/>
      </c>
      <c r="AB74" s="144" t="str">
        <f>IFERROR(X74+AA74,"")</f>
        <v/>
      </c>
      <c r="AC74" s="301"/>
      <c r="AD74" s="301"/>
      <c r="AE74" s="304"/>
      <c r="AF74" s="305" t="str">
        <f t="shared" si="0"/>
        <v>Media</v>
      </c>
      <c r="AG74" s="145">
        <f>IF(Y74=[5]Listas!$G$53,AG73-(AG73*AB74),AG73)</f>
        <v>0.6</v>
      </c>
      <c r="AH74" s="562"/>
      <c r="AI74" s="305" t="str">
        <f t="shared" si="9"/>
        <v>Menor</v>
      </c>
      <c r="AJ74" s="145">
        <f>IF(Y74=[5]Listas!$G$55,AJ73-(AJ73*AB74),AJ73)</f>
        <v>0.4</v>
      </c>
      <c r="AK74" s="562"/>
      <c r="AL74" s="565"/>
      <c r="AM74" s="565"/>
      <c r="AN74" s="565"/>
      <c r="AO74" s="568"/>
      <c r="AP74" s="631"/>
      <c r="AQ74" s="306"/>
      <c r="AR74" s="191"/>
      <c r="AZ74" s="146"/>
      <c r="BA74" s="147"/>
      <c r="BB74" s="148"/>
      <c r="BC74" s="643" t="s">
        <v>70</v>
      </c>
      <c r="BD74" s="643"/>
      <c r="BE74" s="643"/>
      <c r="BF74" s="643"/>
      <c r="BG74" s="643"/>
      <c r="BI74" s="149" t="s">
        <v>183</v>
      </c>
      <c r="BJ74" s="150" t="s">
        <v>184</v>
      </c>
      <c r="BK74" s="150" t="s">
        <v>185</v>
      </c>
      <c r="BL74" s="151" t="s">
        <v>186</v>
      </c>
      <c r="BN74" s="149" t="s">
        <v>183</v>
      </c>
      <c r="BO74" s="150" t="s">
        <v>187</v>
      </c>
      <c r="BP74" s="152" t="s">
        <v>188</v>
      </c>
      <c r="BQ74" s="152" t="s">
        <v>189</v>
      </c>
      <c r="BR74" s="151" t="s">
        <v>60</v>
      </c>
    </row>
    <row r="75" spans="2:70" ht="16.5" hidden="1" customHeight="1" thickTop="1" thickBot="1" x14ac:dyDescent="0.4">
      <c r="B75" s="870"/>
      <c r="C75" s="559"/>
      <c r="D75" s="761"/>
      <c r="E75" s="577"/>
      <c r="F75" s="817"/>
      <c r="G75" s="686"/>
      <c r="H75" s="689"/>
      <c r="I75" s="589"/>
      <c r="J75" s="589"/>
      <c r="K75" s="592"/>
      <c r="L75" s="589"/>
      <c r="M75" s="595"/>
      <c r="N75" s="598"/>
      <c r="O75" s="601"/>
      <c r="P75" s="595"/>
      <c r="Q75" s="604"/>
      <c r="R75" s="601"/>
      <c r="S75" s="283"/>
      <c r="T75" s="604"/>
      <c r="U75" s="142" t="s">
        <v>190</v>
      </c>
      <c r="V75" s="415"/>
      <c r="W75" s="301"/>
      <c r="X75" s="302" t="str">
        <f>IF(W75=[5]Listas!$B$46,[5]Listas!$C$46,IF(W75=[5]Listas!$B$47,[5]Listas!$C$47,IF(W75=[5]Listas!$B$48,[5]Listas!$C$48,"")))</f>
        <v/>
      </c>
      <c r="Y75" s="303" t="str">
        <f>IF(OR(W75=[5]Listas!$F$53,W75=[5]Listas!$F$54),[5]Listas!$G$53,IF(W75=[5]Listas!$F$55,[5]Listas!$G$55,""))</f>
        <v/>
      </c>
      <c r="Z75" s="301"/>
      <c r="AA75" s="143" t="str">
        <f>+IF(Z75=[5]Listas!$E$46,[5]Listas!$F$46,IF(Z75=[5]Listas!$E$47,[5]Listas!$F$47,""))</f>
        <v/>
      </c>
      <c r="AB75" s="144" t="str">
        <f t="shared" ref="AB75:AB81" si="10">IFERROR(X75+AA75,"")</f>
        <v/>
      </c>
      <c r="AC75" s="301"/>
      <c r="AD75" s="301"/>
      <c r="AE75" s="304"/>
      <c r="AF75" s="305" t="str">
        <f t="shared" si="0"/>
        <v>Media</v>
      </c>
      <c r="AG75" s="145">
        <f>IF(Y75=[5]Listas!$G$53,AG74-(AG74*AB75),AG74)</f>
        <v>0.6</v>
      </c>
      <c r="AH75" s="562"/>
      <c r="AI75" s="305" t="str">
        <f t="shared" si="9"/>
        <v>Menor</v>
      </c>
      <c r="AJ75" s="145">
        <f>IF(Y75=[5]Listas!$G$55,AJ74-(AJ74*AB75),AJ74)</f>
        <v>0.4</v>
      </c>
      <c r="AK75" s="562"/>
      <c r="AL75" s="565"/>
      <c r="AM75" s="565"/>
      <c r="AN75" s="565"/>
      <c r="AO75" s="568"/>
      <c r="AP75" s="631"/>
      <c r="AQ75" s="306"/>
      <c r="AR75" s="117"/>
      <c r="AZ75" s="153"/>
      <c r="BA75" s="154"/>
      <c r="BB75" s="155" t="s">
        <v>192</v>
      </c>
      <c r="BC75" s="156">
        <v>0.2</v>
      </c>
      <c r="BD75" s="156">
        <v>0.4</v>
      </c>
      <c r="BE75" s="156">
        <v>0.6</v>
      </c>
      <c r="BF75" s="156">
        <v>0.8</v>
      </c>
      <c r="BG75" s="156">
        <v>1</v>
      </c>
      <c r="BI75" s="157" t="s">
        <v>193</v>
      </c>
      <c r="BJ75" s="158">
        <v>0.2</v>
      </c>
      <c r="BK75" s="159" t="s">
        <v>194</v>
      </c>
      <c r="BL75" s="160" t="s">
        <v>195</v>
      </c>
      <c r="BN75" s="157" t="s">
        <v>196</v>
      </c>
      <c r="BO75" s="159" t="s">
        <v>197</v>
      </c>
      <c r="BP75" s="161">
        <v>0</v>
      </c>
      <c r="BQ75" s="161">
        <v>2</v>
      </c>
      <c r="BR75" s="162">
        <v>0.2</v>
      </c>
    </row>
    <row r="76" spans="2:70" ht="31.5" hidden="1" customHeight="1" thickTop="1" thickBot="1" x14ac:dyDescent="0.4">
      <c r="B76" s="870"/>
      <c r="C76" s="559"/>
      <c r="D76" s="761"/>
      <c r="E76" s="577"/>
      <c r="F76" s="817"/>
      <c r="G76" s="686"/>
      <c r="H76" s="689"/>
      <c r="I76" s="589"/>
      <c r="J76" s="589"/>
      <c r="K76" s="592"/>
      <c r="L76" s="589"/>
      <c r="M76" s="595"/>
      <c r="N76" s="598"/>
      <c r="O76" s="601"/>
      <c r="P76" s="595"/>
      <c r="Q76" s="604"/>
      <c r="R76" s="601"/>
      <c r="S76" s="283"/>
      <c r="T76" s="604"/>
      <c r="U76" s="142" t="s">
        <v>198</v>
      </c>
      <c r="V76" s="415"/>
      <c r="W76" s="301"/>
      <c r="X76" s="302" t="str">
        <f>IF(W76=[5]Listas!$B$46,[5]Listas!$C$46,IF(W76=[5]Listas!$B$47,[5]Listas!$C$47,IF(W76=[5]Listas!$B$48,[5]Listas!$C$48,"")))</f>
        <v/>
      </c>
      <c r="Y76" s="303" t="str">
        <f>IF(OR(W76=[5]Listas!$F$53,W76=[5]Listas!$F$54),[5]Listas!$G$53,IF(W76=[5]Listas!$F$55,[5]Listas!$G$55,""))</f>
        <v/>
      </c>
      <c r="Z76" s="301"/>
      <c r="AA76" s="143" t="str">
        <f>+IF(Z76=[5]Listas!$E$46,[5]Listas!$F$46,IF(Z76=[5]Listas!$E$47,[5]Listas!$F$47,""))</f>
        <v/>
      </c>
      <c r="AB76" s="144" t="str">
        <f t="shared" si="10"/>
        <v/>
      </c>
      <c r="AC76" s="301"/>
      <c r="AD76" s="301"/>
      <c r="AE76" s="304"/>
      <c r="AF76" s="305" t="str">
        <f t="shared" ref="AF76:AF139" si="11">IF(AG76="","",IF(AG76&lt;=20%,"Muy baja",IF(AG76&lt;=40%,"Baja",IF(AG76&lt;=60%,"Media",IF(AG76&lt;=80%,"Alta","Muy alta")))))</f>
        <v>Media</v>
      </c>
      <c r="AG76" s="145">
        <f>IF(Y76=[5]Listas!$G$53,AG75-(AG75*AB76),AG75)</f>
        <v>0.6</v>
      </c>
      <c r="AH76" s="562"/>
      <c r="AI76" s="305" t="str">
        <f t="shared" si="9"/>
        <v>Menor</v>
      </c>
      <c r="AJ76" s="145">
        <f>IF(Y76=[5]Listas!$G$55,AJ75-(AJ75*AB76),AJ75)</f>
        <v>0.4</v>
      </c>
      <c r="AK76" s="562"/>
      <c r="AL76" s="565"/>
      <c r="AM76" s="565"/>
      <c r="AN76" s="565"/>
      <c r="AO76" s="568"/>
      <c r="AP76" s="631"/>
      <c r="AQ76" s="306"/>
      <c r="AR76" s="117"/>
      <c r="AZ76" s="153"/>
      <c r="BA76" s="154"/>
      <c r="BB76" s="163" t="s">
        <v>200</v>
      </c>
      <c r="BC76" s="164" t="s">
        <v>193</v>
      </c>
      <c r="BD76" s="164" t="s">
        <v>201</v>
      </c>
      <c r="BE76" s="164" t="s">
        <v>83</v>
      </c>
      <c r="BF76" s="164" t="s">
        <v>202</v>
      </c>
      <c r="BG76" s="164" t="s">
        <v>203</v>
      </c>
      <c r="BI76" s="165" t="s">
        <v>201</v>
      </c>
      <c r="BJ76" s="158">
        <v>0.4</v>
      </c>
      <c r="BK76" s="166" t="s">
        <v>204</v>
      </c>
      <c r="BL76" s="167" t="s">
        <v>205</v>
      </c>
      <c r="BN76" s="165" t="s">
        <v>206</v>
      </c>
      <c r="BO76" s="166" t="s">
        <v>207</v>
      </c>
      <c r="BP76" s="161">
        <v>3</v>
      </c>
      <c r="BQ76" s="161">
        <v>24</v>
      </c>
      <c r="BR76" s="162">
        <v>0.4</v>
      </c>
    </row>
    <row r="77" spans="2:70" ht="31.5" hidden="1" customHeight="1" thickTop="1" thickBot="1" x14ac:dyDescent="0.4">
      <c r="B77" s="870"/>
      <c r="C77" s="559"/>
      <c r="D77" s="761"/>
      <c r="E77" s="577"/>
      <c r="F77" s="817"/>
      <c r="G77" s="686"/>
      <c r="H77" s="689"/>
      <c r="I77" s="589"/>
      <c r="J77" s="589"/>
      <c r="K77" s="592"/>
      <c r="L77" s="589"/>
      <c r="M77" s="595"/>
      <c r="N77" s="598"/>
      <c r="O77" s="601"/>
      <c r="P77" s="595"/>
      <c r="Q77" s="604"/>
      <c r="R77" s="601"/>
      <c r="S77" s="283"/>
      <c r="T77" s="604"/>
      <c r="U77" s="142" t="s">
        <v>208</v>
      </c>
      <c r="V77" s="415"/>
      <c r="W77" s="301"/>
      <c r="X77" s="302" t="str">
        <f>IF(W77=[5]Listas!$B$46,[5]Listas!$C$46,IF(W77=[5]Listas!$B$47,[5]Listas!$C$47,IF(W77=[5]Listas!$B$48,[5]Listas!$C$48,"")))</f>
        <v/>
      </c>
      <c r="Y77" s="303" t="str">
        <f>IF(OR(W77=[5]Listas!$F$53,W77=[5]Listas!$F$54),[5]Listas!$G$53,IF(W77=[5]Listas!$F$55,[5]Listas!$G$55,""))</f>
        <v/>
      </c>
      <c r="Z77" s="301"/>
      <c r="AA77" s="143" t="str">
        <f>+IF(Z77=[5]Listas!$E$46,[5]Listas!$F$46,IF(Z77=[5]Listas!$E$47,[5]Listas!$F$47,""))</f>
        <v/>
      </c>
      <c r="AB77" s="144" t="str">
        <f t="shared" si="10"/>
        <v/>
      </c>
      <c r="AC77" s="301"/>
      <c r="AD77" s="301"/>
      <c r="AE77" s="304"/>
      <c r="AF77" s="305" t="str">
        <f t="shared" si="11"/>
        <v>Media</v>
      </c>
      <c r="AG77" s="145">
        <f>IF(Y77=[5]Listas!$G$53,AG76-(AG76*AB77),AG76)</f>
        <v>0.6</v>
      </c>
      <c r="AH77" s="562"/>
      <c r="AI77" s="305" t="str">
        <f t="shared" si="9"/>
        <v>Menor</v>
      </c>
      <c r="AJ77" s="145">
        <f>IF(Y77=[5]Listas!$G$55,AJ76-(AJ76*AB77),AJ76)</f>
        <v>0.4</v>
      </c>
      <c r="AK77" s="562"/>
      <c r="AL77" s="565"/>
      <c r="AM77" s="565"/>
      <c r="AN77" s="565"/>
      <c r="AO77" s="568"/>
      <c r="AP77" s="631"/>
      <c r="AQ77" s="306"/>
      <c r="AR77" s="117"/>
      <c r="AZ77" s="644" t="s">
        <v>60</v>
      </c>
      <c r="BA77" s="168">
        <v>1</v>
      </c>
      <c r="BB77" s="164" t="s">
        <v>210</v>
      </c>
      <c r="BC77" s="169" t="s">
        <v>81</v>
      </c>
      <c r="BD77" s="169" t="s">
        <v>81</v>
      </c>
      <c r="BE77" s="169" t="s">
        <v>81</v>
      </c>
      <c r="BF77" s="169" t="s">
        <v>81</v>
      </c>
      <c r="BG77" s="170" t="s">
        <v>77</v>
      </c>
      <c r="BI77" s="171" t="s">
        <v>83</v>
      </c>
      <c r="BJ77" s="158">
        <v>0.6</v>
      </c>
      <c r="BK77" s="166" t="s">
        <v>211</v>
      </c>
      <c r="BL77" s="167" t="s">
        <v>212</v>
      </c>
      <c r="BN77" s="171" t="s">
        <v>213</v>
      </c>
      <c r="BO77" s="166" t="s">
        <v>214</v>
      </c>
      <c r="BP77" s="161">
        <v>25</v>
      </c>
      <c r="BQ77" s="161">
        <v>500</v>
      </c>
      <c r="BR77" s="162">
        <v>0.6</v>
      </c>
    </row>
    <row r="78" spans="2:70" ht="31.5" hidden="1" customHeight="1" thickTop="1" thickBot="1" x14ac:dyDescent="0.4">
      <c r="B78" s="870"/>
      <c r="C78" s="559"/>
      <c r="D78" s="761"/>
      <c r="E78" s="577"/>
      <c r="F78" s="817"/>
      <c r="G78" s="686"/>
      <c r="H78" s="689"/>
      <c r="I78" s="589"/>
      <c r="J78" s="589"/>
      <c r="K78" s="592"/>
      <c r="L78" s="589"/>
      <c r="M78" s="595"/>
      <c r="N78" s="598"/>
      <c r="O78" s="601"/>
      <c r="P78" s="595"/>
      <c r="Q78" s="604"/>
      <c r="R78" s="601"/>
      <c r="S78" s="283"/>
      <c r="T78" s="604"/>
      <c r="U78" s="142" t="s">
        <v>215</v>
      </c>
      <c r="V78" s="418"/>
      <c r="W78" s="301"/>
      <c r="X78" s="302" t="str">
        <f>IF(W78=[5]Listas!$B$46,[5]Listas!$C$46,IF(W78=[5]Listas!$B$47,[5]Listas!$C$47,IF(W78=[5]Listas!$B$48,[5]Listas!$C$48,"")))</f>
        <v/>
      </c>
      <c r="Y78" s="303" t="str">
        <f>IF(OR(W78=[5]Listas!$F$53,W78=[5]Listas!$F$54),[5]Listas!$G$53,IF(W78=[5]Listas!$F$55,[5]Listas!$G$55,""))</f>
        <v/>
      </c>
      <c r="Z78" s="301"/>
      <c r="AA78" s="143" t="str">
        <f>+IF(Z78=[5]Listas!$E$46,[5]Listas!$F$46,IF(Z78=[5]Listas!$E$47,[5]Listas!$F$47,""))</f>
        <v/>
      </c>
      <c r="AB78" s="144" t="str">
        <f t="shared" si="10"/>
        <v/>
      </c>
      <c r="AC78" s="301"/>
      <c r="AD78" s="301"/>
      <c r="AE78" s="304"/>
      <c r="AF78" s="305" t="str">
        <f t="shared" si="11"/>
        <v>Media</v>
      </c>
      <c r="AG78" s="145">
        <f>IF(Y78=[5]Listas!$G$53,AG77-(AG77*AB78),AG77)</f>
        <v>0.6</v>
      </c>
      <c r="AH78" s="562"/>
      <c r="AI78" s="305" t="str">
        <f t="shared" si="9"/>
        <v>Menor</v>
      </c>
      <c r="AJ78" s="145">
        <f>IF(Y78=[5]Listas!$G$55,AJ77-(AJ77*AB78),AJ77)</f>
        <v>0.4</v>
      </c>
      <c r="AK78" s="562"/>
      <c r="AL78" s="565"/>
      <c r="AM78" s="565"/>
      <c r="AN78" s="565"/>
      <c r="AO78" s="568"/>
      <c r="AP78" s="631"/>
      <c r="AQ78" s="306"/>
      <c r="AR78" s="117"/>
      <c r="AZ78" s="644"/>
      <c r="BA78" s="168">
        <v>0.8</v>
      </c>
      <c r="BB78" s="164" t="s">
        <v>217</v>
      </c>
      <c r="BC78" s="172" t="s">
        <v>83</v>
      </c>
      <c r="BD78" s="172" t="s">
        <v>83</v>
      </c>
      <c r="BE78" s="169" t="s">
        <v>81</v>
      </c>
      <c r="BF78" s="169" t="s">
        <v>81</v>
      </c>
      <c r="BG78" s="170" t="s">
        <v>77</v>
      </c>
      <c r="BI78" s="173" t="s">
        <v>202</v>
      </c>
      <c r="BJ78" s="158">
        <v>0.8</v>
      </c>
      <c r="BK78" s="166" t="s">
        <v>218</v>
      </c>
      <c r="BL78" s="167" t="s">
        <v>219</v>
      </c>
      <c r="BN78" s="173" t="s">
        <v>217</v>
      </c>
      <c r="BO78" s="166" t="s">
        <v>169</v>
      </c>
      <c r="BP78" s="161">
        <v>5001</v>
      </c>
      <c r="BQ78" s="161">
        <v>5000</v>
      </c>
      <c r="BR78" s="162">
        <v>0.8</v>
      </c>
    </row>
    <row r="79" spans="2:70" ht="15" hidden="1" customHeight="1" thickTop="1" x14ac:dyDescent="0.35">
      <c r="B79" s="870"/>
      <c r="C79" s="559"/>
      <c r="D79" s="761"/>
      <c r="E79" s="577"/>
      <c r="F79" s="817"/>
      <c r="G79" s="686"/>
      <c r="H79" s="689"/>
      <c r="I79" s="589"/>
      <c r="J79" s="589"/>
      <c r="K79" s="592"/>
      <c r="L79" s="589"/>
      <c r="M79" s="595"/>
      <c r="N79" s="598"/>
      <c r="O79" s="601"/>
      <c r="P79" s="595"/>
      <c r="Q79" s="604"/>
      <c r="R79" s="601"/>
      <c r="S79" s="283"/>
      <c r="T79" s="604"/>
      <c r="U79" s="142" t="s">
        <v>220</v>
      </c>
      <c r="V79" s="419"/>
      <c r="W79" s="301"/>
      <c r="X79" s="302" t="str">
        <f>IF(W79=[5]Listas!$B$46,[5]Listas!$C$46,IF(W79=[5]Listas!$B$47,[5]Listas!$C$47,IF(W79=[5]Listas!$B$48,[5]Listas!$C$48,"")))</f>
        <v/>
      </c>
      <c r="Y79" s="303" t="str">
        <f>IF(OR(W79=[5]Listas!$F$53,W79=[5]Listas!$F$54),[5]Listas!$G$53,IF(W79=[5]Listas!$F$55,[5]Listas!$G$55,""))</f>
        <v/>
      </c>
      <c r="Z79" s="301"/>
      <c r="AA79" s="143" t="str">
        <f>+IF(Z79=[5]Listas!$E$46,[5]Listas!$F$46,IF(Z79=[5]Listas!$E$47,[5]Listas!$F$47,""))</f>
        <v/>
      </c>
      <c r="AB79" s="144" t="str">
        <f t="shared" si="10"/>
        <v/>
      </c>
      <c r="AC79" s="301"/>
      <c r="AD79" s="301"/>
      <c r="AE79" s="304"/>
      <c r="AF79" s="305" t="str">
        <f t="shared" si="11"/>
        <v>Media</v>
      </c>
      <c r="AG79" s="145">
        <f>IF(Y79=[5]Listas!$G$53,AG78-(AG78*AB79),AG78)</f>
        <v>0.6</v>
      </c>
      <c r="AH79" s="562"/>
      <c r="AI79" s="305" t="str">
        <f t="shared" si="9"/>
        <v>Menor</v>
      </c>
      <c r="AJ79" s="145">
        <f>IF(Y79=[5]Listas!$G$55,AJ78-(AJ78*AB79),AJ78)</f>
        <v>0.4</v>
      </c>
      <c r="AK79" s="562"/>
      <c r="AL79" s="565"/>
      <c r="AM79" s="565"/>
      <c r="AN79" s="565"/>
      <c r="AO79" s="568"/>
      <c r="AP79" s="631"/>
      <c r="AQ79" s="306"/>
      <c r="AR79" s="117"/>
      <c r="AZ79" s="644"/>
      <c r="BA79" s="168">
        <v>0.6</v>
      </c>
      <c r="BB79" s="164" t="s">
        <v>213</v>
      </c>
      <c r="BC79" s="172" t="s">
        <v>83</v>
      </c>
      <c r="BD79" s="172" t="s">
        <v>83</v>
      </c>
      <c r="BE79" s="172" t="s">
        <v>83</v>
      </c>
      <c r="BF79" s="169" t="s">
        <v>81</v>
      </c>
      <c r="BG79" s="170" t="s">
        <v>77</v>
      </c>
      <c r="BI79" s="175" t="s">
        <v>203</v>
      </c>
      <c r="BJ79" s="158">
        <v>1</v>
      </c>
      <c r="BK79" s="166" t="s">
        <v>221</v>
      </c>
      <c r="BL79" s="167" t="s">
        <v>170</v>
      </c>
      <c r="BN79" s="175" t="s">
        <v>210</v>
      </c>
      <c r="BO79" s="166" t="s">
        <v>222</v>
      </c>
      <c r="BP79" s="161">
        <v>5001</v>
      </c>
      <c r="BQ79" s="161"/>
      <c r="BR79" s="162">
        <v>1</v>
      </c>
    </row>
    <row r="80" spans="2:70" ht="15" hidden="1" customHeight="1" thickTop="1" x14ac:dyDescent="0.35">
      <c r="B80" s="870"/>
      <c r="C80" s="559"/>
      <c r="D80" s="761"/>
      <c r="E80" s="577"/>
      <c r="F80" s="817"/>
      <c r="G80" s="686"/>
      <c r="H80" s="689"/>
      <c r="I80" s="589"/>
      <c r="J80" s="589"/>
      <c r="K80" s="592"/>
      <c r="L80" s="589"/>
      <c r="M80" s="595"/>
      <c r="N80" s="598"/>
      <c r="O80" s="601"/>
      <c r="P80" s="595"/>
      <c r="Q80" s="604"/>
      <c r="R80" s="601"/>
      <c r="S80" s="283"/>
      <c r="T80" s="604"/>
      <c r="U80" s="142" t="s">
        <v>223</v>
      </c>
      <c r="V80" s="419"/>
      <c r="W80" s="301"/>
      <c r="X80" s="302" t="str">
        <f>IF(W80=[5]Listas!$B$46,[5]Listas!$C$46,IF(W80=[5]Listas!$B$47,[5]Listas!$C$47,IF(W80=[5]Listas!$B$48,[5]Listas!$C$48,"")))</f>
        <v/>
      </c>
      <c r="Y80" s="303" t="str">
        <f>IF(OR(W80=[5]Listas!$F$53,W80=[5]Listas!$F$54),[5]Listas!$G$53,IF(W80=[5]Listas!$F$55,[5]Listas!$G$55,""))</f>
        <v/>
      </c>
      <c r="Z80" s="301"/>
      <c r="AA80" s="143" t="str">
        <f>+IF(Z80=[5]Listas!$E$46,[5]Listas!$F$46,IF(Z80=[5]Listas!$E$47,[5]Listas!$F$47,""))</f>
        <v/>
      </c>
      <c r="AB80" s="144" t="str">
        <f t="shared" si="10"/>
        <v/>
      </c>
      <c r="AC80" s="301"/>
      <c r="AD80" s="301"/>
      <c r="AE80" s="304"/>
      <c r="AF80" s="305" t="str">
        <f t="shared" si="11"/>
        <v>Media</v>
      </c>
      <c r="AG80" s="145">
        <f>IF(Y80=[5]Listas!$G$53,AG79-(AG79*AB80),AG79)</f>
        <v>0.6</v>
      </c>
      <c r="AH80" s="562"/>
      <c r="AI80" s="305" t="str">
        <f t="shared" si="9"/>
        <v>Menor</v>
      </c>
      <c r="AJ80" s="145">
        <f>IF(Y80=[5]Listas!$G$55,AJ79-(AJ79*AB80),AJ79)</f>
        <v>0.4</v>
      </c>
      <c r="AK80" s="562"/>
      <c r="AL80" s="565"/>
      <c r="AM80" s="565"/>
      <c r="AN80" s="565"/>
      <c r="AO80" s="568"/>
      <c r="AP80" s="631"/>
      <c r="AQ80" s="306"/>
      <c r="AR80" s="117"/>
      <c r="AZ80" s="644"/>
      <c r="BA80" s="168">
        <v>0.4</v>
      </c>
      <c r="BB80" s="164" t="s">
        <v>206</v>
      </c>
      <c r="BC80" s="176" t="s">
        <v>86</v>
      </c>
      <c r="BD80" s="172" t="s">
        <v>83</v>
      </c>
      <c r="BE80" s="172" t="s">
        <v>83</v>
      </c>
      <c r="BF80" s="169" t="s">
        <v>81</v>
      </c>
      <c r="BG80" s="170" t="s">
        <v>77</v>
      </c>
    </row>
    <row r="81" spans="2:59" ht="15.75" hidden="1" customHeight="1" thickTop="1" x14ac:dyDescent="0.35">
      <c r="B81" s="870"/>
      <c r="C81" s="559"/>
      <c r="D81" s="762"/>
      <c r="E81" s="578"/>
      <c r="F81" s="818"/>
      <c r="G81" s="787"/>
      <c r="H81" s="789"/>
      <c r="I81" s="590"/>
      <c r="J81" s="590"/>
      <c r="K81" s="593"/>
      <c r="L81" s="589"/>
      <c r="M81" s="595"/>
      <c r="N81" s="599"/>
      <c r="O81" s="602"/>
      <c r="P81" s="596"/>
      <c r="Q81" s="605"/>
      <c r="R81" s="602"/>
      <c r="S81" s="284"/>
      <c r="T81" s="605"/>
      <c r="U81" s="142" t="s">
        <v>224</v>
      </c>
      <c r="V81" s="420"/>
      <c r="W81" s="307"/>
      <c r="X81" s="308" t="str">
        <f>IF(W81=[5]Listas!$B$46,[5]Listas!$C$46,IF(W81=[5]Listas!$B$47,[5]Listas!$C$47,IF(W81=[5]Listas!$B$48,[5]Listas!$C$48,"")))</f>
        <v/>
      </c>
      <c r="Y81" s="309" t="str">
        <f>IF(OR(W81=[5]Listas!$F$53,W81=[5]Listas!$F$54),[5]Listas!$G$53,IF(W81=[5]Listas!$F$55,[5]Listas!$G$55,""))</f>
        <v/>
      </c>
      <c r="Z81" s="307"/>
      <c r="AA81" s="177" t="str">
        <f>+IF(Z81=[5]Listas!$E$46,[5]Listas!$F$46,IF(Z81=[5]Listas!$E$47,[5]Listas!$F$47,""))</f>
        <v/>
      </c>
      <c r="AB81" s="178" t="str">
        <f t="shared" si="10"/>
        <v/>
      </c>
      <c r="AC81" s="307"/>
      <c r="AD81" s="307"/>
      <c r="AE81" s="310"/>
      <c r="AF81" s="311" t="str">
        <f t="shared" si="11"/>
        <v>Media</v>
      </c>
      <c r="AG81" s="179">
        <f>IF(Y81=[5]Listas!$G$53,AG80-(AG80*AB81),AG80)</f>
        <v>0.6</v>
      </c>
      <c r="AH81" s="563"/>
      <c r="AI81" s="311" t="str">
        <f t="shared" si="9"/>
        <v>Menor</v>
      </c>
      <c r="AJ81" s="179">
        <f>IF(Y81=[5]Listas!$G$55,AJ80-(AJ80*AB81),AJ80)</f>
        <v>0.4</v>
      </c>
      <c r="AK81" s="563"/>
      <c r="AL81" s="566"/>
      <c r="AM81" s="566"/>
      <c r="AN81" s="566"/>
      <c r="AO81" s="569"/>
      <c r="AP81" s="632"/>
      <c r="AQ81" s="312"/>
      <c r="AR81" s="180"/>
      <c r="AZ81" s="644"/>
      <c r="BA81" s="168">
        <v>0.2</v>
      </c>
      <c r="BB81" s="164" t="s">
        <v>196</v>
      </c>
      <c r="BC81" s="176" t="s">
        <v>86</v>
      </c>
      <c r="BD81" s="176" t="s">
        <v>86</v>
      </c>
      <c r="BE81" s="172" t="s">
        <v>83</v>
      </c>
      <c r="BF81" s="169" t="s">
        <v>81</v>
      </c>
      <c r="BG81" s="170" t="s">
        <v>77</v>
      </c>
    </row>
    <row r="82" spans="2:59" ht="237" customHeight="1" thickTop="1" thickBot="1" x14ac:dyDescent="0.4">
      <c r="B82" s="870"/>
      <c r="C82" s="559"/>
      <c r="D82" s="760" t="s">
        <v>271</v>
      </c>
      <c r="E82" s="576" t="s">
        <v>4</v>
      </c>
      <c r="F82" s="693" t="s">
        <v>272</v>
      </c>
      <c r="G82" s="811" t="s">
        <v>273</v>
      </c>
      <c r="H82" s="813" t="s">
        <v>274</v>
      </c>
      <c r="I82" s="588" t="s">
        <v>20</v>
      </c>
      <c r="J82" s="588" t="s">
        <v>22</v>
      </c>
      <c r="K82" s="591"/>
      <c r="L82" s="588" t="s">
        <v>186</v>
      </c>
      <c r="M82" s="594" t="s">
        <v>169</v>
      </c>
      <c r="N82" s="597" t="str">
        <f>+IF(M82="","",IF(M82=$BO$15,$BN$15,IF(M82=$BO$16,$BN$16,IF(M82=$BO$17,$BN$17,IF(M82=$BO$18,$BN$18,IF(M82=$BO$19,$BN$19))))))</f>
        <v>Alta</v>
      </c>
      <c r="O82" s="600">
        <f>+IF(M82="","",IF(M82=$BO$15,$BR$15,IF(M82=$BO$16,$BR$16,IF(M82=$BO$17,$BR$17,IF(M82=$BO$18,$BR$18,IF(M82=$BO$19,$BR$19))))))</f>
        <v>0.8</v>
      </c>
      <c r="P82" s="594" t="s">
        <v>170</v>
      </c>
      <c r="Q82" s="603" t="str">
        <f>+IF(P82="","",IF(P82='[5]Mapa de Calor inherente'!$AF$6,'[5]Mapa de Calor inherente'!$AD$6,IF(P82='[5]Mapa de Calor inherente'!$AF$7,'[5]Mapa de Calor inherente'!$AD$7,IF(P82='[5]Mapa de Calor inherente'!$AF$8,'[5]Mapa de Calor inherente'!$AD$8,IF(P82='[5]Mapa de Calor inherente'!$AF$9,'[5]Mapa de Calor inherente'!$AD$9,IF(P82='[5]Mapa de Calor inherente'!$AF$10,'[5]Mapa de Calor inherente'!$AD$10,IF(P82='[5]Mapa de Calor inherente'!$AG$6,'[5]Mapa de Calor inherente'!$AD$6,IF(P82='[5]Mapa de Calor inherente'!$AG$7,'[5]Mapa de Calor inherente'!$AD$7,IF(P82='[5]Mapa de Calor inherente'!$AG$8,'[5]Mapa de Calor inherente'!$AD$8,IF(P82='[5]Mapa de Calor inherente'!$AG$9,'[5]Mapa de Calor inherente'!$AD$9,IF(P82='[5]Mapa de Calor inherente'!$AG$10,'[5]Mapa de Calor inherente'!$AD$10,IF(P82='[5]Mapa de Calor inherente'!$AD$8,'[5]Mapa de Calor inherente'!$AD$8,IF(P82='[5]Mapa de Calor inherente'!$AD$9,'[5]Mapa de Calor inherente'!$AD$9,IF(P82='[5]Mapa de Calor inherente'!$AD$10,'[5]Mapa de Calor inherente'!$AD$10))))))))))))))</f>
        <v>Catastrófico</v>
      </c>
      <c r="R82" s="600">
        <f>+IF(P82="","",IF(P82='[5]Mapa de Calor inherente'!$AF$6,'[5]Mapa de Calor inherente'!$AE$6,IF(P82='[5]Mapa de Calor inherente'!$AF$7,'[5]Mapa de Calor inherente'!$AE$7,IF(P82='[5]Mapa de Calor inherente'!$AF$8,'[5]Mapa de Calor inherente'!$AE$8,IF(P82='[5]Mapa de Calor inherente'!$AF$9,'[5]Mapa de Calor inherente'!$AE$9,IF(P82='[5]Mapa de Calor inherente'!$AF$10,'[5]Mapa de Calor inherente'!$AE$10,IF(P82='[5]Mapa de Calor inherente'!$AG$6,'[5]Mapa de Calor inherente'!$AE$6,IF(P82='[5]Mapa de Calor inherente'!$AG$7,'[5]Mapa de Calor inherente'!$AE$7,IF(P82='[5]Mapa de Calor inherente'!$AG$8,'[5]Mapa de Calor inherente'!$AE$8,IF(P82='[5]Mapa de Calor inherente'!$AG$9,'[5]Mapa de Calor inherente'!$AE$9,IF(P82='[5]Mapa de Calor inherente'!$AG$10,'[5]Mapa de Calor inherente'!$AE$10,IF(P82='[5]Mapa de Calor inherente'!$AD$8,'[5]Mapa de Calor inherente'!$AE$8,IF(P82='[5]Mapa de Calor inherente'!$AD$9,'[5]Mapa de Calor inherente'!$AE$9,IF(P82='[5]Mapa de Calor inherente'!$AD$10,'[5]Mapa de Calor inherente'!$AE$10))))))))))))))</f>
        <v>1</v>
      </c>
      <c r="S82" s="285"/>
      <c r="T82" s="606" t="str">
        <f>+IF(N82=$BB$17,IF(Q82=$BC$16,$BC$17,IF(Q82=$BD$16,$BD$17,IF(Q82=$BE$16,$BE$17,IF(Q82=$BF$16,$BF$17,IF(Q82=$BG$16,$BG$17))))),IF(N82=$BB$18,IF(Q82=$BC$16,$BC$18,IF(Q82=$BD$16,$BD$18,IF(Q82=$BE$16,$BE$18,IF(Q82=$BF$16,$BF$18,IF(Q82=$BG$16,$BG$18))))),IF(N82=$BB$19,IF(Q82=$BC$16,$BC$19,IF(Q82=$BD$16,$BD$19,IF(Q82=$BE$16,$BE$19,IF(Q82=$BF$16,$BF$19,IF(Q82=$BG$16,$BG$19))))),IF(N82=$BB$20,IF(Q82=$BC$16,$BC$20,IF(Q82=$BD$16,$BD$20,IF(Q82=$BE$16,$BE$20,IF(Q82=$BF$16,$BF$20,IF(Q82=$BG$16,$BG$20))))),IF(N82=$BB$21,IF(Q82=$BC$16,$BC$21,IF(Q82=$BD$16,$BD$21,IF(Q82=$BE$16,$BE$21,IF(Q82=$BF$16,$BF$21,IF(Q82=$BG$16,$BG$21))))),"")))))</f>
        <v>Extremo</v>
      </c>
      <c r="U82" s="139" t="s">
        <v>171</v>
      </c>
      <c r="V82" s="425" t="s">
        <v>275</v>
      </c>
      <c r="W82" s="313" t="s">
        <v>40</v>
      </c>
      <c r="X82" s="314">
        <f>IF(W82=[5]Listas!$B$46,[5]Listas!$C$46,IF(W82=[5]Listas!$B$47,[5]Listas!$C$47,IF(W82=[5]Listas!$B$48,[5]Listas!$C$48,"")))</f>
        <v>0.25</v>
      </c>
      <c r="Y82" s="315" t="str">
        <f>IF(OR(W82=[5]Listas!$F$53,W82=[5]Listas!$F$54),[5]Listas!$G$53,IF(W82=[5]Listas!$F$55,[5]Listas!$G$55,""))</f>
        <v>Probabilidad</v>
      </c>
      <c r="Z82" s="313" t="s">
        <v>43</v>
      </c>
      <c r="AA82" s="314">
        <f>+IF(Z82=[5]Listas!$E$46,[5]Listas!$F$46,IF(Z82=[5]Listas!$E$47,[5]Listas!$F$47,""))</f>
        <v>0.15</v>
      </c>
      <c r="AB82" s="181">
        <f>IFERROR(X82+AA82,"")</f>
        <v>0.4</v>
      </c>
      <c r="AC82" s="313" t="s">
        <v>64</v>
      </c>
      <c r="AD82" s="316" t="s">
        <v>58</v>
      </c>
      <c r="AE82" s="317" t="s">
        <v>59</v>
      </c>
      <c r="AF82" s="299" t="str">
        <f t="shared" si="11"/>
        <v>Media</v>
      </c>
      <c r="AG82" s="141">
        <f>IF(Y82=[5]Listas!$G$53,O82-(O82*AB82),O82)</f>
        <v>0.48</v>
      </c>
      <c r="AH82" s="561">
        <f>+IF(AG91="","",AG91)</f>
        <v>0.28799999999999998</v>
      </c>
      <c r="AI82" s="299" t="str">
        <f>IF(AJ82="","",IF(AJ82&lt;=20%,"Leve",IF(AJ82&lt;=40%,"Menor",IF(AJ82&lt;=60%,"Moderado",IF(AJ82&lt;=80%,"Mayor","Catastrófico")))))</f>
        <v>Catastrófico</v>
      </c>
      <c r="AJ82" s="141">
        <f>IF(Y82=[5]Listas!$G$55,R82-(R82*AB82),R82)</f>
        <v>1</v>
      </c>
      <c r="AK82" s="561">
        <f>+IF(AJ91="","",AJ91)</f>
        <v>1</v>
      </c>
      <c r="AL82" s="564" t="str">
        <f>+IF(AH82=0,"",IF(AH82&lt;=$BA$21,$BB$21,IF(AH82&lt;=$BA$20,$BB$20,IF(AH82&lt;=$BA$19,$BB$19,IF(AH82&lt;=$BA$18,$BB$18,IF(AH82&lt;=$BA$17,$BB$17,""))))))</f>
        <v>Baja</v>
      </c>
      <c r="AM82" s="564" t="str">
        <f>+IF(AK82=0,"",IF(AK82&lt;=$BC$15,$BC$16,IF(AK82&lt;=$BD$15,$BD$16,IF(AK82&lt;=$BE$15,$BE$16,IF(AK82&lt;=$BF$15,$BF$16,IF(AK82&lt;=$BG$15,$BG$16,""))))))</f>
        <v>Catastrófico</v>
      </c>
      <c r="AN82" s="564" t="str">
        <f>IF(AL82=$BB$17,IF(AM82=$BC$16,$BC$17,IF(AM82=$BD$16,$BD$17,IF(AM82=$BE$16,$BE$17,IF(AM82=$BF$16,$BF$17,IF(AM82=$BG$16,$BG$17))))),IF(AL82=$BB$18,IF(AM82=$BC$16,$BC$18,IF(AM82=$BD$16,$BD$18,IF(AM82=$BE$16,$BE$18,IF(AM82=$BF$16,$BF$18,IF(AM82=$BG$16,$BG$18))))),IF(AL82=$BB$19,IF(AM82=$BC$16,$BC$19,IF(AM82=$BD$16,$BD$19,IF(AM82=$BE$16,$BE$19,IF(AM82=$BF$16,$BF$19,IF(AM82=$BG$16,$BG$19))))),IF(AL82=$BB$20,IF(AM82=$BC$16,$BC$20,IF(AM82=$BD$16,$BD$20,IF(AM82=$BE$16,$BE$20,IF(AM82=$BF$16,$BF$20,IF(AM82=$BG$16,$BG$20))))),IF(AL82=$BB$21,IF(AM82=$BC$16,$BC$21,IF(AM82=$BD$16,$BD$21,IF(AM82=$BE$16,$BE$21,IF(AM82=$BF$16,$BF$21,IF(AM82=$BG$16,$BG$21))))),"")))))</f>
        <v>Extremo</v>
      </c>
      <c r="AO82" s="567" t="str">
        <f>IF(AP82="","",IF(AP82=[5]Listas!$F$61,[5]Listas!$G$61,IF(AP82=[5]Listas!$F$63,[5]Listas!$G$63,IF(AP82=[5]Listas!$F$64,[5]Listas!$G$64))))</f>
        <v>Requiere Plan de Acción</v>
      </c>
      <c r="AP82" s="570" t="str">
        <f>IF(AN82="","",IF(OR(AN82=[5]Listas!$E$61,AN82=[5]Listas!$E$62),[5]Listas!$F$61,IF(AN82=[5]Listas!$E$63,[5]Listas!$F$63,IF(AN82=[5]Listas!$E$64,[5]Listas!$F$64))))</f>
        <v>Reducir, evitar, compartir o transferir el riesgo</v>
      </c>
      <c r="AQ82" s="300" t="s">
        <v>80</v>
      </c>
      <c r="AR82" s="194" t="s">
        <v>276</v>
      </c>
    </row>
    <row r="83" spans="2:59" ht="280" customHeight="1" thickTop="1" thickBot="1" x14ac:dyDescent="0.4">
      <c r="B83" s="870"/>
      <c r="C83" s="559"/>
      <c r="D83" s="761"/>
      <c r="E83" s="577"/>
      <c r="F83" s="646"/>
      <c r="G83" s="675"/>
      <c r="H83" s="814"/>
      <c r="I83" s="589"/>
      <c r="J83" s="589"/>
      <c r="K83" s="592"/>
      <c r="L83" s="589"/>
      <c r="M83" s="595"/>
      <c r="N83" s="598"/>
      <c r="O83" s="601"/>
      <c r="P83" s="595"/>
      <c r="Q83" s="604"/>
      <c r="R83" s="601"/>
      <c r="S83" s="286"/>
      <c r="T83" s="607"/>
      <c r="U83" s="142" t="s">
        <v>174</v>
      </c>
      <c r="V83" s="426" t="s">
        <v>277</v>
      </c>
      <c r="W83" s="319" t="s">
        <v>40</v>
      </c>
      <c r="X83" s="320">
        <f>IF(W83=[5]Listas!$B$46,[5]Listas!$C$46,IF(W83=[5]Listas!$B$47,[5]Listas!$C$47,IF(W83=[5]Listas!$B$48,[5]Listas!$C$48,"")))</f>
        <v>0.25</v>
      </c>
      <c r="Y83" s="321" t="str">
        <f>IF(OR(W83=[5]Listas!$F$53,W83=[5]Listas!$F$54),[5]Listas!$G$53,IF(W83=[5]Listas!$F$55,[5]Listas!$G$55,""))</f>
        <v>Probabilidad</v>
      </c>
      <c r="Z83" s="319" t="s">
        <v>43</v>
      </c>
      <c r="AA83" s="182">
        <f>+IF(Z83=[5]Listas!$E$46,[5]Listas!$F$46,IF(Z83=[5]Listas!$E$47,[5]Listas!$F$47,""))</f>
        <v>0.15</v>
      </c>
      <c r="AB83" s="183">
        <f>IFERROR(X83+AA83,"")</f>
        <v>0.4</v>
      </c>
      <c r="AC83" s="319" t="s">
        <v>57</v>
      </c>
      <c r="AD83" s="322" t="s">
        <v>58</v>
      </c>
      <c r="AE83" s="323" t="s">
        <v>59</v>
      </c>
      <c r="AF83" s="305" t="str">
        <f t="shared" si="11"/>
        <v>Baja</v>
      </c>
      <c r="AG83" s="145">
        <f>IF(Y83=[5]Listas!$G$53,AG82-(AG82*AB83),AG82)</f>
        <v>0.28799999999999998</v>
      </c>
      <c r="AH83" s="562"/>
      <c r="AI83" s="305" t="str">
        <f t="shared" si="9"/>
        <v>Catastrófico</v>
      </c>
      <c r="AJ83" s="145">
        <f>IF(Y83=[5]Listas!$G$55,AJ82-(AJ82*AB83),AJ82)</f>
        <v>1</v>
      </c>
      <c r="AK83" s="562"/>
      <c r="AL83" s="565"/>
      <c r="AM83" s="565"/>
      <c r="AN83" s="565"/>
      <c r="AO83" s="568"/>
      <c r="AP83" s="571"/>
      <c r="AQ83" s="306" t="s">
        <v>90</v>
      </c>
      <c r="AR83" s="195" t="s">
        <v>278</v>
      </c>
    </row>
    <row r="84" spans="2:59" ht="73" hidden="1" customHeight="1" thickBot="1" x14ac:dyDescent="0.4">
      <c r="B84" s="870"/>
      <c r="C84" s="559"/>
      <c r="D84" s="761"/>
      <c r="E84" s="577"/>
      <c r="F84" s="646"/>
      <c r="G84" s="675"/>
      <c r="H84" s="814"/>
      <c r="I84" s="589"/>
      <c r="J84" s="589"/>
      <c r="K84" s="592"/>
      <c r="L84" s="589"/>
      <c r="M84" s="595"/>
      <c r="N84" s="598"/>
      <c r="O84" s="601"/>
      <c r="P84" s="595"/>
      <c r="Q84" s="604"/>
      <c r="R84" s="601"/>
      <c r="S84" s="287"/>
      <c r="T84" s="607"/>
      <c r="U84" s="142" t="s">
        <v>180</v>
      </c>
      <c r="V84" s="415"/>
      <c r="W84" s="319"/>
      <c r="X84" s="320" t="str">
        <f>IF(W84=[5]Listas!$B$46,[5]Listas!$C$46,IF(W84=[5]Listas!$B$47,[5]Listas!$C$47,IF(W84=[5]Listas!$B$48,[5]Listas!$C$48,"")))</f>
        <v/>
      </c>
      <c r="Y84" s="321" t="str">
        <f>IF(OR(W84=[5]Listas!$F$53,W84=[5]Listas!$F$54),[5]Listas!$G$53,IF(W84=[5]Listas!$F$55,[5]Listas!$G$55,""))</f>
        <v/>
      </c>
      <c r="Z84" s="319"/>
      <c r="AA84" s="182" t="str">
        <f>+IF(Z84=[5]Listas!$E$46,[5]Listas!$F$46,IF(Z84=[5]Listas!$E$47,[5]Listas!$F$47,""))</f>
        <v/>
      </c>
      <c r="AB84" s="183" t="str">
        <f>IFERROR(X84+AA84,"")</f>
        <v/>
      </c>
      <c r="AC84" s="325"/>
      <c r="AD84" s="326"/>
      <c r="AE84" s="327"/>
      <c r="AF84" s="305" t="str">
        <f t="shared" si="11"/>
        <v>Baja</v>
      </c>
      <c r="AG84" s="145">
        <f>IF(Y84=[5]Listas!$G$53,AG83-(AG83*AB84),AG83)</f>
        <v>0.28799999999999998</v>
      </c>
      <c r="AH84" s="562"/>
      <c r="AI84" s="305" t="str">
        <f t="shared" si="9"/>
        <v>Catastrófico</v>
      </c>
      <c r="AJ84" s="145">
        <f>IF(Y84=[5]Listas!$G$55,AJ83-(AJ83*AB84),AJ83)</f>
        <v>1</v>
      </c>
      <c r="AK84" s="562"/>
      <c r="AL84" s="565"/>
      <c r="AM84" s="565"/>
      <c r="AN84" s="565"/>
      <c r="AO84" s="568"/>
      <c r="AP84" s="571"/>
      <c r="AQ84" s="324"/>
      <c r="AR84" s="184"/>
    </row>
    <row r="85" spans="2:59" ht="15" hidden="1" customHeight="1" thickTop="1" x14ac:dyDescent="0.35">
      <c r="B85" s="870"/>
      <c r="C85" s="559"/>
      <c r="D85" s="761"/>
      <c r="E85" s="577"/>
      <c r="F85" s="646"/>
      <c r="G85" s="675"/>
      <c r="H85" s="814"/>
      <c r="I85" s="589"/>
      <c r="J85" s="589"/>
      <c r="K85" s="592"/>
      <c r="L85" s="589"/>
      <c r="M85" s="595"/>
      <c r="N85" s="598"/>
      <c r="O85" s="601"/>
      <c r="P85" s="595"/>
      <c r="Q85" s="604"/>
      <c r="R85" s="601"/>
      <c r="S85" s="287"/>
      <c r="T85" s="607"/>
      <c r="U85" s="142" t="s">
        <v>190</v>
      </c>
      <c r="V85" s="415"/>
      <c r="W85" s="319"/>
      <c r="X85" s="320" t="str">
        <f>IF(W85=[5]Listas!$B$46,[5]Listas!$C$46,IF(W85=[5]Listas!$B$47,[5]Listas!$C$47,IF(W85=[5]Listas!$B$48,[5]Listas!$C$48,"")))</f>
        <v/>
      </c>
      <c r="Y85" s="321" t="str">
        <f>IF(OR(W85=[5]Listas!$F$53,W85=[5]Listas!$F$54),[5]Listas!$G$53,IF(W85=[5]Listas!$F$55,[5]Listas!$G$55,""))</f>
        <v/>
      </c>
      <c r="Z85" s="319"/>
      <c r="AA85" s="182" t="str">
        <f>+IF(Z85=[5]Listas!$E$46,[5]Listas!$F$46,IF(Z85=[5]Listas!$E$47,[5]Listas!$F$47,""))</f>
        <v/>
      </c>
      <c r="AB85" s="183" t="str">
        <f t="shared" ref="AB85:AB91" si="12">IFERROR(X85+AA85,"")</f>
        <v/>
      </c>
      <c r="AC85" s="328"/>
      <c r="AD85" s="329"/>
      <c r="AE85" s="330"/>
      <c r="AF85" s="305" t="str">
        <f t="shared" si="11"/>
        <v>Baja</v>
      </c>
      <c r="AG85" s="145">
        <f>IF(Y85=[5]Listas!$G$53,AG84-(AG84*AB85),AG84)</f>
        <v>0.28799999999999998</v>
      </c>
      <c r="AH85" s="562"/>
      <c r="AI85" s="305" t="str">
        <f t="shared" si="9"/>
        <v>Catastrófico</v>
      </c>
      <c r="AJ85" s="145">
        <f>IF(Y85=[5]Listas!$G$55,AJ84-(AJ84*AB85),AJ84)</f>
        <v>1</v>
      </c>
      <c r="AK85" s="562"/>
      <c r="AL85" s="565"/>
      <c r="AM85" s="565"/>
      <c r="AN85" s="565"/>
      <c r="AO85" s="568"/>
      <c r="AP85" s="571"/>
      <c r="AQ85" s="324"/>
      <c r="AR85" s="185"/>
    </row>
    <row r="86" spans="2:59" ht="15" hidden="1" customHeight="1" thickTop="1" x14ac:dyDescent="0.35">
      <c r="B86" s="870"/>
      <c r="C86" s="559"/>
      <c r="D86" s="761"/>
      <c r="E86" s="577"/>
      <c r="F86" s="646"/>
      <c r="G86" s="675"/>
      <c r="H86" s="814"/>
      <c r="I86" s="589"/>
      <c r="J86" s="589"/>
      <c r="K86" s="592"/>
      <c r="L86" s="589"/>
      <c r="M86" s="595"/>
      <c r="N86" s="598"/>
      <c r="O86" s="601"/>
      <c r="P86" s="595"/>
      <c r="Q86" s="604"/>
      <c r="R86" s="601"/>
      <c r="S86" s="287"/>
      <c r="T86" s="607"/>
      <c r="U86" s="142" t="s">
        <v>198</v>
      </c>
      <c r="V86" s="415"/>
      <c r="W86" s="331"/>
      <c r="X86" s="320" t="str">
        <f>IF(W86=[5]Listas!$B$46,[5]Listas!$C$46,IF(W86=[5]Listas!$B$47,[5]Listas!$C$47,IF(W86=[5]Listas!$B$48,[5]Listas!$C$48,"")))</f>
        <v/>
      </c>
      <c r="Y86" s="321" t="str">
        <f>IF(OR(W86=[5]Listas!$F$53,W86=[5]Listas!$F$54),[5]Listas!$G$53,IF(W86=[5]Listas!$F$55,[5]Listas!$G$55,""))</f>
        <v/>
      </c>
      <c r="Z86" s="331"/>
      <c r="AA86" s="182" t="str">
        <f>+IF(Z86=[5]Listas!$E$46,[5]Listas!$F$46,IF(Z86=[5]Listas!$E$47,[5]Listas!$F$47,""))</f>
        <v/>
      </c>
      <c r="AB86" s="183" t="str">
        <f t="shared" si="12"/>
        <v/>
      </c>
      <c r="AC86" s="319"/>
      <c r="AD86" s="322"/>
      <c r="AE86" s="323"/>
      <c r="AF86" s="305" t="str">
        <f t="shared" si="11"/>
        <v>Baja</v>
      </c>
      <c r="AG86" s="145">
        <f>IF(Y86=[5]Listas!$G$53,AG85-(AG85*AB86),AG85)</f>
        <v>0.28799999999999998</v>
      </c>
      <c r="AH86" s="562"/>
      <c r="AI86" s="305" t="str">
        <f t="shared" si="9"/>
        <v>Catastrófico</v>
      </c>
      <c r="AJ86" s="145">
        <f>IF(Y86=[5]Listas!$G$55,AJ85-(AJ85*AB86),AJ85)</f>
        <v>1</v>
      </c>
      <c r="AK86" s="562"/>
      <c r="AL86" s="565"/>
      <c r="AM86" s="565"/>
      <c r="AN86" s="565"/>
      <c r="AO86" s="568"/>
      <c r="AP86" s="571"/>
      <c r="AQ86" s="324"/>
      <c r="AR86" s="185"/>
    </row>
    <row r="87" spans="2:59" ht="15.75" hidden="1" customHeight="1" thickTop="1" x14ac:dyDescent="0.35">
      <c r="B87" s="870"/>
      <c r="C87" s="559"/>
      <c r="D87" s="761"/>
      <c r="E87" s="577"/>
      <c r="F87" s="646"/>
      <c r="G87" s="675"/>
      <c r="H87" s="814"/>
      <c r="I87" s="589"/>
      <c r="J87" s="589"/>
      <c r="K87" s="592"/>
      <c r="L87" s="589"/>
      <c r="M87" s="595"/>
      <c r="N87" s="598"/>
      <c r="O87" s="601"/>
      <c r="P87" s="595"/>
      <c r="Q87" s="604"/>
      <c r="R87" s="601"/>
      <c r="S87" s="288"/>
      <c r="T87" s="607"/>
      <c r="U87" s="142" t="s">
        <v>208</v>
      </c>
      <c r="V87" s="415"/>
      <c r="W87" s="331"/>
      <c r="X87" s="320" t="str">
        <f>IF(W87=[5]Listas!$B$46,[5]Listas!$C$46,IF(W87=[5]Listas!$B$47,[5]Listas!$C$47,IF(W87=[5]Listas!$B$48,[5]Listas!$C$48,"")))</f>
        <v/>
      </c>
      <c r="Y87" s="321" t="str">
        <f>IF(OR(W87=[5]Listas!$F$53,W87=[5]Listas!$F$54),[5]Listas!$G$53,IF(W87=[5]Listas!$F$55,[5]Listas!$G$55,""))</f>
        <v/>
      </c>
      <c r="Z87" s="331"/>
      <c r="AA87" s="182" t="str">
        <f>+IF(Z87=[5]Listas!$E$46,[5]Listas!$F$46,IF(Z87=[5]Listas!$E$47,[5]Listas!$F$47,""))</f>
        <v/>
      </c>
      <c r="AB87" s="183" t="str">
        <f t="shared" si="12"/>
        <v/>
      </c>
      <c r="AC87" s="319"/>
      <c r="AD87" s="322"/>
      <c r="AE87" s="323"/>
      <c r="AF87" s="305" t="str">
        <f t="shared" si="11"/>
        <v>Baja</v>
      </c>
      <c r="AG87" s="145">
        <f>IF(Y87=[5]Listas!$G$53,AG86-(AG86*AB87),AG86)</f>
        <v>0.28799999999999998</v>
      </c>
      <c r="AH87" s="562"/>
      <c r="AI87" s="305" t="str">
        <f t="shared" si="9"/>
        <v>Catastrófico</v>
      </c>
      <c r="AJ87" s="145">
        <f>IF(Y87=[5]Listas!$G$55,AJ86-(AJ86*AB87),AJ86)</f>
        <v>1</v>
      </c>
      <c r="AK87" s="562"/>
      <c r="AL87" s="565"/>
      <c r="AM87" s="565"/>
      <c r="AN87" s="565"/>
      <c r="AO87" s="568"/>
      <c r="AP87" s="571"/>
      <c r="AQ87" s="332"/>
      <c r="AR87" s="185"/>
    </row>
    <row r="88" spans="2:59" ht="15" hidden="1" customHeight="1" thickTop="1" x14ac:dyDescent="0.35">
      <c r="B88" s="870"/>
      <c r="C88" s="559"/>
      <c r="D88" s="761"/>
      <c r="E88" s="577"/>
      <c r="F88" s="646"/>
      <c r="G88" s="675"/>
      <c r="H88" s="814"/>
      <c r="I88" s="589"/>
      <c r="J88" s="589"/>
      <c r="K88" s="592"/>
      <c r="L88" s="589"/>
      <c r="M88" s="595"/>
      <c r="N88" s="598"/>
      <c r="O88" s="601"/>
      <c r="P88" s="595"/>
      <c r="Q88" s="604"/>
      <c r="R88" s="601"/>
      <c r="S88" s="289"/>
      <c r="T88" s="607"/>
      <c r="U88" s="142" t="s">
        <v>215</v>
      </c>
      <c r="V88" s="415"/>
      <c r="W88" s="331"/>
      <c r="X88" s="320" t="str">
        <f>IF(W88=[5]Listas!$B$46,[5]Listas!$C$46,IF(W88=[5]Listas!$B$47,[5]Listas!$C$47,IF(W88=[5]Listas!$B$48,[5]Listas!$C$48,"")))</f>
        <v/>
      </c>
      <c r="Y88" s="321" t="str">
        <f>IF(OR(W88=[5]Listas!$F$53,W88=[5]Listas!$F$54),[5]Listas!$G$53,IF(W88=[5]Listas!$F$55,[5]Listas!$G$55,""))</f>
        <v/>
      </c>
      <c r="Z88" s="331"/>
      <c r="AA88" s="182" t="str">
        <f>+IF(Z88=[5]Listas!$E$46,[5]Listas!$F$46,IF(Z88=[5]Listas!$E$47,[5]Listas!$F$47,""))</f>
        <v/>
      </c>
      <c r="AB88" s="183" t="str">
        <f t="shared" si="12"/>
        <v/>
      </c>
      <c r="AC88" s="319"/>
      <c r="AD88" s="322"/>
      <c r="AE88" s="323"/>
      <c r="AF88" s="305" t="str">
        <f t="shared" si="11"/>
        <v>Baja</v>
      </c>
      <c r="AG88" s="145">
        <f>IF(Y88=[5]Listas!$G$53,AG87-(AG87*AB88),AG87)</f>
        <v>0.28799999999999998</v>
      </c>
      <c r="AH88" s="562"/>
      <c r="AI88" s="305" t="str">
        <f t="shared" si="9"/>
        <v>Catastrófico</v>
      </c>
      <c r="AJ88" s="145">
        <f>IF(Y88=[5]Listas!$G$55,AJ87-(AJ87*AB88),AJ87)</f>
        <v>1</v>
      </c>
      <c r="AK88" s="562"/>
      <c r="AL88" s="565"/>
      <c r="AM88" s="565"/>
      <c r="AN88" s="565"/>
      <c r="AO88" s="568"/>
      <c r="AP88" s="571"/>
      <c r="AQ88" s="333"/>
      <c r="AR88" s="185"/>
    </row>
    <row r="89" spans="2:59" ht="15" hidden="1" customHeight="1" thickTop="1" x14ac:dyDescent="0.35">
      <c r="B89" s="870"/>
      <c r="C89" s="559"/>
      <c r="D89" s="761"/>
      <c r="E89" s="577"/>
      <c r="F89" s="646"/>
      <c r="G89" s="675"/>
      <c r="H89" s="814"/>
      <c r="I89" s="589"/>
      <c r="J89" s="589"/>
      <c r="K89" s="592"/>
      <c r="L89" s="589"/>
      <c r="M89" s="595"/>
      <c r="N89" s="598"/>
      <c r="O89" s="601"/>
      <c r="P89" s="595"/>
      <c r="Q89" s="604"/>
      <c r="R89" s="601"/>
      <c r="S89" s="289"/>
      <c r="T89" s="607"/>
      <c r="U89" s="142" t="s">
        <v>220</v>
      </c>
      <c r="V89" s="415"/>
      <c r="W89" s="331"/>
      <c r="X89" s="320" t="str">
        <f>IF(W89=[5]Listas!$B$46,[5]Listas!$C$46,IF(W89=[5]Listas!$B$47,[5]Listas!$C$47,IF(W89=[5]Listas!$B$48,[5]Listas!$C$48,"")))</f>
        <v/>
      </c>
      <c r="Y89" s="321" t="str">
        <f>IF(OR(W89=[5]Listas!$F$53,W89=[5]Listas!$F$54),[5]Listas!$G$53,IF(W89=[5]Listas!$F$55,[5]Listas!$G$55,""))</f>
        <v/>
      </c>
      <c r="Z89" s="331"/>
      <c r="AA89" s="182" t="str">
        <f>+IF(Z89=[5]Listas!$E$46,[5]Listas!$F$46,IF(Z89=[5]Listas!$E$47,[5]Listas!$F$47,""))</f>
        <v/>
      </c>
      <c r="AB89" s="183" t="str">
        <f t="shared" si="12"/>
        <v/>
      </c>
      <c r="AC89" s="319"/>
      <c r="AD89" s="322"/>
      <c r="AE89" s="323"/>
      <c r="AF89" s="305" t="str">
        <f t="shared" si="11"/>
        <v>Baja</v>
      </c>
      <c r="AG89" s="145">
        <f>IF(Y89=[5]Listas!$G$53,AG88-(AG88*AB89),AG88)</f>
        <v>0.28799999999999998</v>
      </c>
      <c r="AH89" s="562"/>
      <c r="AI89" s="305" t="str">
        <f t="shared" si="9"/>
        <v>Catastrófico</v>
      </c>
      <c r="AJ89" s="145">
        <f>IF(Y89=[5]Listas!$G$55,AJ88-(AJ88*AB89),AJ88)</f>
        <v>1</v>
      </c>
      <c r="AK89" s="562"/>
      <c r="AL89" s="565"/>
      <c r="AM89" s="565"/>
      <c r="AN89" s="565"/>
      <c r="AO89" s="568"/>
      <c r="AP89" s="571"/>
      <c r="AQ89" s="334"/>
      <c r="AR89" s="185"/>
    </row>
    <row r="90" spans="2:59" ht="15" hidden="1" customHeight="1" thickTop="1" x14ac:dyDescent="0.35">
      <c r="B90" s="870"/>
      <c r="C90" s="559"/>
      <c r="D90" s="761"/>
      <c r="E90" s="577"/>
      <c r="F90" s="646"/>
      <c r="G90" s="675"/>
      <c r="H90" s="814"/>
      <c r="I90" s="589"/>
      <c r="J90" s="589"/>
      <c r="K90" s="592"/>
      <c r="L90" s="589"/>
      <c r="M90" s="595"/>
      <c r="N90" s="598"/>
      <c r="O90" s="601"/>
      <c r="P90" s="595"/>
      <c r="Q90" s="604"/>
      <c r="R90" s="601"/>
      <c r="S90" s="289"/>
      <c r="T90" s="607"/>
      <c r="U90" s="142" t="s">
        <v>223</v>
      </c>
      <c r="V90" s="415"/>
      <c r="W90" s="331"/>
      <c r="X90" s="320" t="str">
        <f>IF(W90=[5]Listas!$B$46,[5]Listas!$C$46,IF(W90=[5]Listas!$B$47,[5]Listas!$C$47,IF(W90=[5]Listas!$B$48,[5]Listas!$C$48,"")))</f>
        <v/>
      </c>
      <c r="Y90" s="321" t="str">
        <f>IF(OR(W90=[5]Listas!$F$53,W90=[5]Listas!$F$54),[5]Listas!$G$53,IF(W90=[5]Listas!$F$55,[5]Listas!$G$55,""))</f>
        <v/>
      </c>
      <c r="Z90" s="331"/>
      <c r="AA90" s="182" t="str">
        <f>+IF(Z90=[5]Listas!$E$46,[5]Listas!$F$46,IF(Z90=[5]Listas!$E$47,[5]Listas!$F$47,""))</f>
        <v/>
      </c>
      <c r="AB90" s="183" t="str">
        <f t="shared" si="12"/>
        <v/>
      </c>
      <c r="AC90" s="319"/>
      <c r="AD90" s="322"/>
      <c r="AE90" s="323"/>
      <c r="AF90" s="305" t="str">
        <f t="shared" si="11"/>
        <v>Baja</v>
      </c>
      <c r="AG90" s="145">
        <f>IF(Y90=[5]Listas!$G$53,AG89-(AG89*AB90),AG89)</f>
        <v>0.28799999999999998</v>
      </c>
      <c r="AH90" s="562"/>
      <c r="AI90" s="305" t="str">
        <f t="shared" si="9"/>
        <v>Catastrófico</v>
      </c>
      <c r="AJ90" s="145">
        <f>IF(Y90=[5]Listas!$G$55,AJ89-(AJ89*AB90),AJ89)</f>
        <v>1</v>
      </c>
      <c r="AK90" s="562"/>
      <c r="AL90" s="565"/>
      <c r="AM90" s="565"/>
      <c r="AN90" s="565"/>
      <c r="AO90" s="568"/>
      <c r="AP90" s="571"/>
      <c r="AQ90" s="324"/>
      <c r="AR90" s="185"/>
    </row>
    <row r="91" spans="2:59" ht="15.75" hidden="1" customHeight="1" thickTop="1" x14ac:dyDescent="0.35">
      <c r="B91" s="870"/>
      <c r="C91" s="559"/>
      <c r="D91" s="762"/>
      <c r="E91" s="577"/>
      <c r="F91" s="819"/>
      <c r="G91" s="812"/>
      <c r="H91" s="815"/>
      <c r="I91" s="590"/>
      <c r="J91" s="590"/>
      <c r="K91" s="593"/>
      <c r="L91" s="589"/>
      <c r="M91" s="595"/>
      <c r="N91" s="599"/>
      <c r="O91" s="602"/>
      <c r="P91" s="596"/>
      <c r="Q91" s="605"/>
      <c r="R91" s="602"/>
      <c r="S91" s="290"/>
      <c r="T91" s="608"/>
      <c r="U91" s="142" t="s">
        <v>224</v>
      </c>
      <c r="V91" s="416"/>
      <c r="W91" s="335"/>
      <c r="X91" s="336" t="str">
        <f>IF(W91=[5]Listas!$B$46,[5]Listas!$C$46,IF(W91=[5]Listas!$B$47,[5]Listas!$C$47,IF(W91=[5]Listas!$B$48,[5]Listas!$C$48,"")))</f>
        <v/>
      </c>
      <c r="Y91" s="337" t="str">
        <f>IF(OR(W91=[5]Listas!$F$53,W91=[5]Listas!$F$54),[5]Listas!$G$53,IF(W91=[5]Listas!$F$55,[5]Listas!$G$55,""))</f>
        <v/>
      </c>
      <c r="Z91" s="335"/>
      <c r="AA91" s="186" t="str">
        <f>+IF(Z91=[5]Listas!$E$46,[5]Listas!$F$46,IF(Z91=[5]Listas!$E$47,[5]Listas!$F$47,""))</f>
        <v/>
      </c>
      <c r="AB91" s="187" t="str">
        <f t="shared" si="12"/>
        <v/>
      </c>
      <c r="AC91" s="338"/>
      <c r="AD91" s="339"/>
      <c r="AE91" s="340"/>
      <c r="AF91" s="311" t="str">
        <f t="shared" si="11"/>
        <v>Baja</v>
      </c>
      <c r="AG91" s="179">
        <f>IF(Y91=[5]Listas!$G$53,AG90-(AG90*AB91),AG90)</f>
        <v>0.28799999999999998</v>
      </c>
      <c r="AH91" s="563"/>
      <c r="AI91" s="311" t="str">
        <f t="shared" si="9"/>
        <v>Catastrófico</v>
      </c>
      <c r="AJ91" s="179">
        <f>IF(Y91=[5]Listas!$G$55,AJ90-(AJ90*AB91),AJ90)</f>
        <v>1</v>
      </c>
      <c r="AK91" s="563"/>
      <c r="AL91" s="566"/>
      <c r="AM91" s="566"/>
      <c r="AN91" s="566"/>
      <c r="AO91" s="569"/>
      <c r="AP91" s="572"/>
      <c r="AQ91" s="341"/>
      <c r="AR91" s="188"/>
    </row>
    <row r="92" spans="2:59" ht="304.5" customHeight="1" thickTop="1" thickBot="1" x14ac:dyDescent="0.4">
      <c r="B92" s="870"/>
      <c r="C92" s="559"/>
      <c r="D92" s="809" t="s">
        <v>279</v>
      </c>
      <c r="E92" s="576" t="s">
        <v>4</v>
      </c>
      <c r="F92" s="763" t="s">
        <v>280</v>
      </c>
      <c r="G92" s="786" t="s">
        <v>281</v>
      </c>
      <c r="H92" s="788" t="s">
        <v>282</v>
      </c>
      <c r="I92" s="588" t="s">
        <v>20</v>
      </c>
      <c r="J92" s="588" t="s">
        <v>22</v>
      </c>
      <c r="K92" s="591"/>
      <c r="L92" s="588" t="s">
        <v>186</v>
      </c>
      <c r="M92" s="594" t="s">
        <v>214</v>
      </c>
      <c r="N92" s="597" t="str">
        <f>+IF(M92="","",IF(M92=$BO$15,$BN$15,IF(M92=$BO$16,$BN$16,IF(M92=$BO$17,$BN$17,IF(M92=$BO$18,$BN$18,IF(M92=$BO$19,$BN$19))))))</f>
        <v>Media</v>
      </c>
      <c r="O92" s="600">
        <f>+IF(M92="","",IF(M92=$BO$15,$BR$15,IF(M92=$BO$16,$BR$16,IF(M92=$BO$17,$BR$17,IF(M92=$BO$18,$BR$18,IF(M92=$BO$19,$BR$19))))))</f>
        <v>0.6</v>
      </c>
      <c r="P92" s="594" t="s">
        <v>170</v>
      </c>
      <c r="Q92" s="603" t="str">
        <f>+IF(P92="","",IF(P92='[5]Mapa de Calor inherente'!$AF$6,'[5]Mapa de Calor inherente'!$AD$6,IF(P92='[5]Mapa de Calor inherente'!$AF$7,'[5]Mapa de Calor inherente'!$AD$7,IF(P92='[5]Mapa de Calor inherente'!$AF$8,'[5]Mapa de Calor inherente'!$AD$8,IF(P92='[5]Mapa de Calor inherente'!$AF$9,'[5]Mapa de Calor inherente'!$AD$9,IF(P92='[5]Mapa de Calor inherente'!$AF$10,'[5]Mapa de Calor inherente'!$AD$10,IF(P92='[5]Mapa de Calor inherente'!$AG$6,'[5]Mapa de Calor inherente'!$AD$6,IF(P92='[5]Mapa de Calor inherente'!$AG$7,'[5]Mapa de Calor inherente'!$AD$7,IF(P92='[5]Mapa de Calor inherente'!$AG$8,'[5]Mapa de Calor inherente'!$AD$8,IF(P92='[5]Mapa de Calor inherente'!$AG$9,'[5]Mapa de Calor inherente'!$AD$9,IF(P92='[5]Mapa de Calor inherente'!$AG$10,'[5]Mapa de Calor inherente'!$AD$10,IF(P92='[5]Mapa de Calor inherente'!$AD$8,'[5]Mapa de Calor inherente'!$AD$8,IF(P92='[5]Mapa de Calor inherente'!$AD$9,'[5]Mapa de Calor inherente'!$AD$9,IF(P92='[5]Mapa de Calor inherente'!$AD$10,'[5]Mapa de Calor inherente'!$AD$10))))))))))))))</f>
        <v>Catastrófico</v>
      </c>
      <c r="R92" s="600">
        <f>+IF(P92="","",IF(P92='[5]Mapa de Calor inherente'!$AF$6,'[5]Mapa de Calor inherente'!$AE$6,IF(P92='[5]Mapa de Calor inherente'!$AF$7,'[5]Mapa de Calor inherente'!$AE$7,IF(P92='[5]Mapa de Calor inherente'!$AF$8,'[5]Mapa de Calor inherente'!$AE$8,IF(P92='[5]Mapa de Calor inherente'!$AF$9,'[5]Mapa de Calor inherente'!$AE$9,IF(P92='[5]Mapa de Calor inherente'!$AF$10,'[5]Mapa de Calor inherente'!$AE$10,IF(P92='[5]Mapa de Calor inherente'!$AG$6,'[5]Mapa de Calor inherente'!$AE$6,IF(P92='[5]Mapa de Calor inherente'!$AG$7,'[5]Mapa de Calor inherente'!$AE$7,IF(P92='[5]Mapa de Calor inherente'!$AG$8,'[5]Mapa de Calor inherente'!$AE$8,IF(P92='[5]Mapa de Calor inherente'!$AG$9,'[5]Mapa de Calor inherente'!$AE$9,IF(P92='[5]Mapa de Calor inherente'!$AG$10,'[5]Mapa de Calor inherente'!$AE$10,IF(P92='[5]Mapa de Calor inherente'!$AD$8,'[5]Mapa de Calor inherente'!$AE$8,IF(P92='[5]Mapa de Calor inherente'!$AD$9,'[5]Mapa de Calor inherente'!$AE$9,IF(P92='[5]Mapa de Calor inherente'!$AD$10,'[5]Mapa de Calor inherente'!$AE$10))))))))))))))</f>
        <v>1</v>
      </c>
      <c r="S92" s="285"/>
      <c r="T92" s="603" t="str">
        <f>+IF(N92=$BB$17,IF(Q92=$BC$16,$BC$17,IF(Q92=$BD$16,$BD$17,IF(Q92=$BE$16,$BE$17,IF(Q92=$BF$16,$BF$17,IF(Q92=$BG$16,$BG$17))))),IF(N92=$BB$18,IF(Q92=$BC$16,$BC$18,IF(Q92=$BD$16,$BD$18,IF(Q92=$BE$16,$BE$18,IF(Q92=$BF$16,$BF$18,IF(Q92=$BG$16,$BG$18))))),IF(N92=$BB$19,IF(Q92=$BC$16,$BC$19,IF(Q92=$BD$16,$BD$19,IF(Q92=$BE$16,$BE$19,IF(Q92=$BF$16,$BF$19,IF(Q92=$BG$16,$BG$19))))),IF(N92=$BB$20,IF(Q92=$BC$16,$BC$20,IF(Q92=$BD$16,$BD$20,IF(Q92=$BE$16,$BE$20,IF(Q92=$BF$16,$BF$20,IF(Q92=$BG$16,$BG$20))))),IF(N92=$BB$21,IF(Q92=$BC$16,$BC$21,IF(Q92=$BD$16,$BD$21,IF(Q92=$BE$16,$BE$21,IF(Q92=$BF$16,$BF$21,IF(Q92=$BG$16,$BG$21))))),"")))))</f>
        <v>Extremo</v>
      </c>
      <c r="U92" s="139" t="s">
        <v>171</v>
      </c>
      <c r="V92" s="415" t="s">
        <v>283</v>
      </c>
      <c r="W92" s="313" t="s">
        <v>40</v>
      </c>
      <c r="X92" s="314">
        <f>IF(W92=[5]Listas!$B$46,[5]Listas!$C$46,IF(W92=[5]Listas!$B$47,[5]Listas!$C$47,IF(W92=[5]Listas!$B$48,[5]Listas!$C$48,"")))</f>
        <v>0.25</v>
      </c>
      <c r="Y92" s="315" t="str">
        <f>IF(OR(W92=[5]Listas!$F$53,W92=[5]Listas!$F$54),[5]Listas!$G$53,IF(W92=[5]Listas!$F$55,[5]Listas!$G$55,""))</f>
        <v>Probabilidad</v>
      </c>
      <c r="Z92" s="313" t="s">
        <v>43</v>
      </c>
      <c r="AA92" s="314">
        <f>+IF(Z92=[5]Listas!$E$46,[5]Listas!$F$46,IF(Z92=[5]Listas!$E$47,[5]Listas!$F$47,""))</f>
        <v>0.15</v>
      </c>
      <c r="AB92" s="181">
        <f>IFERROR(X92+AA92,"")</f>
        <v>0.4</v>
      </c>
      <c r="AC92" s="313" t="s">
        <v>57</v>
      </c>
      <c r="AD92" s="313" t="s">
        <v>58</v>
      </c>
      <c r="AE92" s="317" t="s">
        <v>59</v>
      </c>
      <c r="AF92" s="299" t="str">
        <f t="shared" si="11"/>
        <v>Baja</v>
      </c>
      <c r="AG92" s="141">
        <f>IF(Y92=[5]Listas!$G$53,O92-(O92*AB92),O92)</f>
        <v>0.36</v>
      </c>
      <c r="AH92" s="561">
        <f>+IF(AG101="","",AG101)</f>
        <v>0.36</v>
      </c>
      <c r="AI92" s="299" t="str">
        <f>IF(AJ92="","",IF(AJ92&lt;=20%,"Leve",IF(AJ92&lt;=40%,"Menor",IF(AJ92&lt;=60%,"Moderado",IF(AJ92&lt;=80%,"Mayor","Catastrófico")))))</f>
        <v>Catastrófico</v>
      </c>
      <c r="AJ92" s="141">
        <f>IF(Y92=[5]Listas!$G$55,R92-(R92*AB92),R92)</f>
        <v>1</v>
      </c>
      <c r="AK92" s="561">
        <f>+IF(AJ101="","",AJ101)</f>
        <v>1</v>
      </c>
      <c r="AL92" s="564" t="str">
        <f>+IF(AH92=0,"",IF(AH92&lt;=$BA$21,$BB$21,IF(AH92&lt;=$BA$20,$BB$20,IF(AH92&lt;=$BA$19,$BB$19,IF(AH92&lt;=$BA$18,$BB$18,IF(AH92&lt;=$BA$17,$BB$17,""))))))</f>
        <v>Baja</v>
      </c>
      <c r="AM92" s="564" t="str">
        <f>+IF(AK92=0,"",IF(AK92&lt;=$BC$15,$BC$16,IF(AK92&lt;=$BD$15,$BD$16,IF(AK92&lt;=$BE$15,$BE$16,IF(AK92&lt;=$BF$15,$BF$16,IF(AK92&lt;=$BG$15,$BG$16,""))))))</f>
        <v>Catastrófico</v>
      </c>
      <c r="AN92" s="564" t="str">
        <f>IF(AL92=$BB$17,IF(AM92=$BC$16,$BC$17,IF(AM92=$BD$16,$BD$17,IF(AM92=$BE$16,$BE$17,IF(AM92=$BF$16,$BF$17,IF(AM92=$BG$16,$BG$17))))),IF(AL92=$BB$18,IF(AM92=$BC$16,$BC$18,IF(AM92=$BD$16,$BD$18,IF(AM92=$BE$16,$BE$18,IF(AM92=$BF$16,$BF$18,IF(AM92=$BG$16,$BG$18))))),IF(AL92=$BB$19,IF(AM92=$BC$16,$BC$19,IF(AM92=$BD$16,$BD$19,IF(AM92=$BE$16,$BE$19,IF(AM92=$BF$16,$BF$19,IF(AM92=$BG$16,$BG$19))))),IF(AL92=$BB$20,IF(AM92=$BC$16,$BC$20,IF(AM92=$BD$16,$BD$20,IF(AM92=$BE$16,$BE$20,IF(AM92=$BF$16,$BF$20,IF(AM92=$BG$16,$BG$20))))),IF(AL92=$BB$21,IF(AM92=$BC$16,$BC$21,IF(AM92=$BD$16,$BD$21,IF(AM92=$BE$16,$BE$21,IF(AM92=$BF$16,$BF$21,IF(AM92=$BG$16,$BG$21))))),"")))))</f>
        <v>Extremo</v>
      </c>
      <c r="AO92" s="567" t="str">
        <f>IF(AP92="","",IF(AP92=[5]Listas!$F$61,[5]Listas!$G$61,IF(AP92=[5]Listas!$F$63,[5]Listas!$G$63,IF(AP92=[5]Listas!$F$64,[5]Listas!$G$64))))</f>
        <v>Requiere Plan de Acción</v>
      </c>
      <c r="AP92" s="570" t="str">
        <f>IF(AN92="","",IF(OR(AN92=[5]Listas!$E$61,AN92=[5]Listas!$E$62),[5]Listas!$F$61,IF(AN92=[5]Listas!$E$63,[5]Listas!$F$63,IF(AN92=[5]Listas!$E$64,[5]Listas!$F$64))))</f>
        <v>Reducir, evitar, compartir o transferir el riesgo</v>
      </c>
      <c r="AQ92" s="347" t="s">
        <v>80</v>
      </c>
      <c r="AR92" s="196" t="s">
        <v>284</v>
      </c>
    </row>
    <row r="93" spans="2:59" ht="29" thickTop="1" thickBot="1" x14ac:dyDescent="0.4">
      <c r="B93" s="870"/>
      <c r="C93" s="559"/>
      <c r="D93" s="745"/>
      <c r="E93" s="577"/>
      <c r="F93" s="764"/>
      <c r="G93" s="686"/>
      <c r="H93" s="689"/>
      <c r="I93" s="589"/>
      <c r="J93" s="589"/>
      <c r="K93" s="592"/>
      <c r="L93" s="589"/>
      <c r="M93" s="595"/>
      <c r="N93" s="598"/>
      <c r="O93" s="601"/>
      <c r="P93" s="595"/>
      <c r="Q93" s="604"/>
      <c r="R93" s="601"/>
      <c r="S93" s="286"/>
      <c r="T93" s="604"/>
      <c r="U93" s="142" t="s">
        <v>174</v>
      </c>
      <c r="V93" s="421"/>
      <c r="W93" s="331"/>
      <c r="X93" s="320" t="str">
        <f>IF(W93=[5]Listas!$B$46,[5]Listas!$C$46,IF(W93=[5]Listas!$B$47,[5]Listas!$C$47,IF(W93=[5]Listas!$B$48,[5]Listas!$C$48,"")))</f>
        <v/>
      </c>
      <c r="Y93" s="321" t="str">
        <f>IF(OR(W93=[5]Listas!$F$53,W93=[5]Listas!$F$54),[5]Listas!$G$53,IF(W93=[5]Listas!$F$55,[5]Listas!$G$55,""))</f>
        <v/>
      </c>
      <c r="Z93" s="331"/>
      <c r="AA93" s="182" t="str">
        <f>+IF(Z93=[5]Listas!$E$46,[5]Listas!$F$46,IF(Z93=[5]Listas!$E$47,[5]Listas!$F$47,""))</f>
        <v/>
      </c>
      <c r="AB93" s="183" t="str">
        <f>IFERROR(X93+AA93,"")</f>
        <v/>
      </c>
      <c r="AC93" s="319"/>
      <c r="AD93" s="319"/>
      <c r="AE93" s="323"/>
      <c r="AF93" s="305" t="str">
        <f t="shared" si="11"/>
        <v>Baja</v>
      </c>
      <c r="AG93" s="145">
        <f>IF(Y93=[5]Listas!$G$53,AG92-(AG92*AB93),AG92)</f>
        <v>0.36</v>
      </c>
      <c r="AH93" s="562"/>
      <c r="AI93" s="305" t="str">
        <f t="shared" si="9"/>
        <v>Catastrófico</v>
      </c>
      <c r="AJ93" s="145">
        <f>IF(Y93=[5]Listas!$G$55,AJ92-(AJ92*AB93),AJ92)</f>
        <v>1</v>
      </c>
      <c r="AK93" s="562"/>
      <c r="AL93" s="565"/>
      <c r="AM93" s="565"/>
      <c r="AN93" s="565"/>
      <c r="AO93" s="568"/>
      <c r="AP93" s="571"/>
      <c r="AQ93" s="348" t="s">
        <v>80</v>
      </c>
      <c r="AR93" s="117" t="s">
        <v>285</v>
      </c>
    </row>
    <row r="94" spans="2:59" ht="71" thickTop="1" thickBot="1" x14ac:dyDescent="0.4">
      <c r="B94" s="870"/>
      <c r="C94" s="559"/>
      <c r="D94" s="745"/>
      <c r="E94" s="577"/>
      <c r="F94" s="764"/>
      <c r="G94" s="686"/>
      <c r="H94" s="689"/>
      <c r="I94" s="589"/>
      <c r="J94" s="589"/>
      <c r="K94" s="592"/>
      <c r="L94" s="589"/>
      <c r="M94" s="595"/>
      <c r="N94" s="598"/>
      <c r="O94" s="601"/>
      <c r="P94" s="595"/>
      <c r="Q94" s="604"/>
      <c r="R94" s="601"/>
      <c r="S94" s="287"/>
      <c r="T94" s="604"/>
      <c r="U94" s="142" t="s">
        <v>180</v>
      </c>
      <c r="V94" s="415"/>
      <c r="W94" s="331"/>
      <c r="X94" s="320" t="str">
        <f>IF(W94=[5]Listas!$B$46,[5]Listas!$C$46,IF(W94=[5]Listas!$B$47,[5]Listas!$C$47,IF(W94=[5]Listas!$B$48,[5]Listas!$C$48,"")))</f>
        <v/>
      </c>
      <c r="Y94" s="321" t="str">
        <f>IF(OR(W94=[5]Listas!$F$53,W94=[5]Listas!$F$54),[5]Listas!$G$53,IF(W94=[5]Listas!$F$55,[5]Listas!$G$55,""))</f>
        <v/>
      </c>
      <c r="Z94" s="331"/>
      <c r="AA94" s="182" t="str">
        <f>+IF(Z94=[5]Listas!$E$46,[5]Listas!$F$46,IF(Z94=[5]Listas!$E$47,[5]Listas!$F$47,""))</f>
        <v/>
      </c>
      <c r="AB94" s="183" t="str">
        <f>IFERROR(X94+AA94,"")</f>
        <v/>
      </c>
      <c r="AC94" s="319"/>
      <c r="AD94" s="319"/>
      <c r="AE94" s="323"/>
      <c r="AF94" s="305" t="str">
        <f t="shared" si="11"/>
        <v>Baja</v>
      </c>
      <c r="AG94" s="145">
        <f>IF(Y94=[5]Listas!$G$53,AG93-(AG93*AB94),AG93)</f>
        <v>0.36</v>
      </c>
      <c r="AH94" s="562"/>
      <c r="AI94" s="305" t="str">
        <f t="shared" si="9"/>
        <v>Catastrófico</v>
      </c>
      <c r="AJ94" s="145">
        <f>IF(Y94=[5]Listas!$G$55,AJ93-(AJ93*AB94),AJ93)</f>
        <v>1</v>
      </c>
      <c r="AK94" s="562"/>
      <c r="AL94" s="565"/>
      <c r="AM94" s="565"/>
      <c r="AN94" s="565"/>
      <c r="AO94" s="568"/>
      <c r="AP94" s="571"/>
      <c r="AQ94" s="348" t="s">
        <v>90</v>
      </c>
      <c r="AR94" s="193" t="s">
        <v>286</v>
      </c>
    </row>
    <row r="95" spans="2:59" ht="16.5" hidden="1" customHeight="1" thickTop="1" thickBot="1" x14ac:dyDescent="0.4">
      <c r="B95" s="870"/>
      <c r="C95" s="559"/>
      <c r="D95" s="745"/>
      <c r="E95" s="577"/>
      <c r="F95" s="764"/>
      <c r="G95" s="686"/>
      <c r="H95" s="689"/>
      <c r="I95" s="589"/>
      <c r="J95" s="589"/>
      <c r="K95" s="592"/>
      <c r="L95" s="589"/>
      <c r="M95" s="595"/>
      <c r="N95" s="598"/>
      <c r="O95" s="601"/>
      <c r="P95" s="595"/>
      <c r="Q95" s="604"/>
      <c r="R95" s="601"/>
      <c r="S95" s="287"/>
      <c r="T95" s="604"/>
      <c r="U95" s="142" t="s">
        <v>190</v>
      </c>
      <c r="V95" s="415"/>
      <c r="W95" s="331"/>
      <c r="X95" s="320" t="str">
        <f>IF(W95=[5]Listas!$B$46,[5]Listas!$C$46,IF(W95=[5]Listas!$B$47,[5]Listas!$C$47,IF(W95=[5]Listas!$B$48,[5]Listas!$C$48,"")))</f>
        <v/>
      </c>
      <c r="Y95" s="321" t="str">
        <f>IF(OR(W95=[5]Listas!$F$53,W95=[5]Listas!$F$54),[5]Listas!$G$53,IF(W95=[5]Listas!$F$55,[5]Listas!$G$55,""))</f>
        <v/>
      </c>
      <c r="Z95" s="331"/>
      <c r="AA95" s="182" t="str">
        <f>+IF(Z95=[5]Listas!$E$46,[5]Listas!$F$46,IF(Z95=[5]Listas!$E$47,[5]Listas!$F$47,""))</f>
        <v/>
      </c>
      <c r="AB95" s="183" t="str">
        <f t="shared" ref="AB95:AB101" si="13">IFERROR(X95+AA95,"")</f>
        <v/>
      </c>
      <c r="AC95" s="319"/>
      <c r="AD95" s="319"/>
      <c r="AE95" s="323"/>
      <c r="AF95" s="305" t="str">
        <f t="shared" si="11"/>
        <v>Baja</v>
      </c>
      <c r="AG95" s="145">
        <f>IF(Y95=[5]Listas!$G$53,AG94-(AG94*AB95),AG94)</f>
        <v>0.36</v>
      </c>
      <c r="AH95" s="562"/>
      <c r="AI95" s="305" t="str">
        <f t="shared" si="9"/>
        <v>Catastrófico</v>
      </c>
      <c r="AJ95" s="145">
        <f>IF(Y95=[5]Listas!$G$55,AJ94-(AJ94*AB95),AJ94)</f>
        <v>1</v>
      </c>
      <c r="AK95" s="562"/>
      <c r="AL95" s="565"/>
      <c r="AM95" s="565"/>
      <c r="AN95" s="565"/>
      <c r="AO95" s="568"/>
      <c r="AP95" s="571"/>
      <c r="AQ95" s="344"/>
      <c r="AR95" s="191"/>
    </row>
    <row r="96" spans="2:59" ht="15" hidden="1" customHeight="1" thickTop="1" x14ac:dyDescent="0.35">
      <c r="B96" s="870"/>
      <c r="C96" s="559"/>
      <c r="D96" s="745"/>
      <c r="E96" s="577"/>
      <c r="F96" s="764"/>
      <c r="G96" s="686"/>
      <c r="H96" s="689"/>
      <c r="I96" s="589"/>
      <c r="J96" s="589"/>
      <c r="K96" s="592"/>
      <c r="L96" s="589"/>
      <c r="M96" s="595"/>
      <c r="N96" s="598"/>
      <c r="O96" s="601"/>
      <c r="P96" s="595"/>
      <c r="Q96" s="604"/>
      <c r="R96" s="601"/>
      <c r="S96" s="287"/>
      <c r="T96" s="604"/>
      <c r="U96" s="142" t="s">
        <v>198</v>
      </c>
      <c r="V96" s="415"/>
      <c r="W96" s="331"/>
      <c r="X96" s="320" t="str">
        <f>IF(W96=[5]Listas!$B$46,[5]Listas!$C$46,IF(W96=[5]Listas!$B$47,[5]Listas!$C$47,IF(W96=[5]Listas!$B$48,[5]Listas!$C$48,"")))</f>
        <v/>
      </c>
      <c r="Y96" s="321" t="str">
        <f>IF(OR(W96=[5]Listas!$F$53,W96=[5]Listas!$F$54),[5]Listas!$G$53,IF(W96=[5]Listas!$F$55,[5]Listas!$G$55,""))</f>
        <v/>
      </c>
      <c r="Z96" s="331"/>
      <c r="AA96" s="182" t="str">
        <f>+IF(Z96=[5]Listas!$E$46,[5]Listas!$F$46,IF(Z96=[5]Listas!$E$47,[5]Listas!$F$47,""))</f>
        <v/>
      </c>
      <c r="AB96" s="183" t="str">
        <f t="shared" si="13"/>
        <v/>
      </c>
      <c r="AC96" s="319"/>
      <c r="AD96" s="319"/>
      <c r="AE96" s="323"/>
      <c r="AF96" s="305" t="str">
        <f t="shared" si="11"/>
        <v>Baja</v>
      </c>
      <c r="AG96" s="145">
        <f>IF(Y96=[5]Listas!$G$53,AG95-(AG95*AB96),AG95)</f>
        <v>0.36</v>
      </c>
      <c r="AH96" s="562"/>
      <c r="AI96" s="305" t="str">
        <f t="shared" si="9"/>
        <v>Catastrófico</v>
      </c>
      <c r="AJ96" s="145">
        <f>IF(Y96=[5]Listas!$G$55,AJ95-(AJ95*AB96),AJ95)</f>
        <v>1</v>
      </c>
      <c r="AK96" s="562"/>
      <c r="AL96" s="565"/>
      <c r="AM96" s="565"/>
      <c r="AN96" s="565"/>
      <c r="AO96" s="568"/>
      <c r="AP96" s="571"/>
      <c r="AQ96" s="343"/>
      <c r="AR96" s="191"/>
    </row>
    <row r="97" spans="2:44" ht="15.75" hidden="1" customHeight="1" thickTop="1" x14ac:dyDescent="0.35">
      <c r="B97" s="870"/>
      <c r="C97" s="559"/>
      <c r="D97" s="745"/>
      <c r="E97" s="577"/>
      <c r="F97" s="764"/>
      <c r="G97" s="686"/>
      <c r="H97" s="689"/>
      <c r="I97" s="589"/>
      <c r="J97" s="589"/>
      <c r="K97" s="592"/>
      <c r="L97" s="589"/>
      <c r="M97" s="595"/>
      <c r="N97" s="598"/>
      <c r="O97" s="601"/>
      <c r="P97" s="595"/>
      <c r="Q97" s="604"/>
      <c r="R97" s="601"/>
      <c r="S97" s="288"/>
      <c r="T97" s="604"/>
      <c r="U97" s="142" t="s">
        <v>208</v>
      </c>
      <c r="V97" s="415"/>
      <c r="W97" s="331"/>
      <c r="X97" s="320" t="str">
        <f>IF(W97=[5]Listas!$B$46,[5]Listas!$C$46,IF(W97=[5]Listas!$B$47,[5]Listas!$C$47,IF(W97=[5]Listas!$B$48,[5]Listas!$C$48,"")))</f>
        <v/>
      </c>
      <c r="Y97" s="321" t="str">
        <f>IF(OR(W97=[5]Listas!$F$53,W97=[5]Listas!$F$54),[5]Listas!$G$53,IF(W97=[5]Listas!$F$55,[5]Listas!$G$55,""))</f>
        <v/>
      </c>
      <c r="Z97" s="331"/>
      <c r="AA97" s="182" t="str">
        <f>+IF(Z97=[5]Listas!$E$46,[5]Listas!$F$46,IF(Z97=[5]Listas!$E$47,[5]Listas!$F$47,""))</f>
        <v/>
      </c>
      <c r="AB97" s="183" t="str">
        <f t="shared" si="13"/>
        <v/>
      </c>
      <c r="AC97" s="319"/>
      <c r="AD97" s="319"/>
      <c r="AE97" s="323"/>
      <c r="AF97" s="305" t="str">
        <f t="shared" si="11"/>
        <v>Baja</v>
      </c>
      <c r="AG97" s="145">
        <f>IF(Y97=[5]Listas!$G$53,AG96-(AG96*AB97),AG96)</f>
        <v>0.36</v>
      </c>
      <c r="AH97" s="562"/>
      <c r="AI97" s="305" t="str">
        <f t="shared" si="9"/>
        <v>Catastrófico</v>
      </c>
      <c r="AJ97" s="145">
        <f>IF(Y97=[5]Listas!$G$55,AJ96-(AJ96*AB97),AJ96)</f>
        <v>1</v>
      </c>
      <c r="AK97" s="562"/>
      <c r="AL97" s="565"/>
      <c r="AM97" s="565"/>
      <c r="AN97" s="565"/>
      <c r="AO97" s="568"/>
      <c r="AP97" s="571"/>
      <c r="AQ97" s="344"/>
      <c r="AR97" s="191"/>
    </row>
    <row r="98" spans="2:44" ht="15" hidden="1" customHeight="1" thickTop="1" x14ac:dyDescent="0.35">
      <c r="B98" s="870"/>
      <c r="C98" s="559"/>
      <c r="D98" s="745"/>
      <c r="E98" s="577"/>
      <c r="F98" s="764"/>
      <c r="G98" s="686"/>
      <c r="H98" s="689"/>
      <c r="I98" s="589"/>
      <c r="J98" s="589"/>
      <c r="K98" s="592"/>
      <c r="L98" s="589"/>
      <c r="M98" s="595"/>
      <c r="N98" s="598"/>
      <c r="O98" s="601"/>
      <c r="P98" s="595"/>
      <c r="Q98" s="604"/>
      <c r="R98" s="601"/>
      <c r="S98" s="289"/>
      <c r="T98" s="604"/>
      <c r="U98" s="142" t="s">
        <v>215</v>
      </c>
      <c r="V98" s="418"/>
      <c r="W98" s="331"/>
      <c r="X98" s="320" t="str">
        <f>IF(W98=[5]Listas!$B$46,[5]Listas!$C$46,IF(W98=[5]Listas!$B$47,[5]Listas!$C$47,IF(W98=[5]Listas!$B$48,[5]Listas!$C$48,"")))</f>
        <v/>
      </c>
      <c r="Y98" s="321" t="str">
        <f>IF(OR(W98=[5]Listas!$F$53,W98=[5]Listas!$F$54),[5]Listas!$G$53,IF(W98=[5]Listas!$F$55,[5]Listas!$G$55,""))</f>
        <v/>
      </c>
      <c r="Z98" s="331"/>
      <c r="AA98" s="182" t="str">
        <f>+IF(Z98=[5]Listas!$E$46,[5]Listas!$F$46,IF(Z98=[5]Listas!$E$47,[5]Listas!$F$47,""))</f>
        <v/>
      </c>
      <c r="AB98" s="183" t="str">
        <f t="shared" si="13"/>
        <v/>
      </c>
      <c r="AC98" s="319"/>
      <c r="AD98" s="322"/>
      <c r="AE98" s="323"/>
      <c r="AF98" s="305" t="str">
        <f t="shared" si="11"/>
        <v>Baja</v>
      </c>
      <c r="AG98" s="145">
        <f>IF(Y98=[5]Listas!$G$53,AG97-(AG97*AB98),AG97)</f>
        <v>0.36</v>
      </c>
      <c r="AH98" s="562"/>
      <c r="AI98" s="305" t="str">
        <f t="shared" si="9"/>
        <v>Catastrófico</v>
      </c>
      <c r="AJ98" s="145">
        <f>IF(Y98=[5]Listas!$G$55,AJ97-(AJ97*AB98),AJ97)</f>
        <v>1</v>
      </c>
      <c r="AK98" s="562"/>
      <c r="AL98" s="565"/>
      <c r="AM98" s="565"/>
      <c r="AN98" s="565"/>
      <c r="AO98" s="568"/>
      <c r="AP98" s="571"/>
      <c r="AQ98" s="345"/>
      <c r="AR98" s="191"/>
    </row>
    <row r="99" spans="2:44" ht="15" hidden="1" customHeight="1" thickTop="1" x14ac:dyDescent="0.35">
      <c r="B99" s="870"/>
      <c r="C99" s="559"/>
      <c r="D99" s="745"/>
      <c r="E99" s="577"/>
      <c r="F99" s="764"/>
      <c r="G99" s="686"/>
      <c r="H99" s="689"/>
      <c r="I99" s="589"/>
      <c r="J99" s="589"/>
      <c r="K99" s="592"/>
      <c r="L99" s="589"/>
      <c r="M99" s="595"/>
      <c r="N99" s="598"/>
      <c r="O99" s="601"/>
      <c r="P99" s="595"/>
      <c r="Q99" s="604"/>
      <c r="R99" s="601"/>
      <c r="S99" s="289"/>
      <c r="T99" s="604"/>
      <c r="U99" s="142" t="s">
        <v>220</v>
      </c>
      <c r="V99" s="418"/>
      <c r="W99" s="331"/>
      <c r="X99" s="320" t="str">
        <f>IF(W99=[5]Listas!$B$46,[5]Listas!$C$46,IF(W99=[5]Listas!$B$47,[5]Listas!$C$47,IF(W99=[5]Listas!$B$48,[5]Listas!$C$48,"")))</f>
        <v/>
      </c>
      <c r="Y99" s="321" t="str">
        <f>IF(OR(W99=[5]Listas!$F$53,W99=[5]Listas!$F$54),[5]Listas!$G$53,IF(W99=[5]Listas!$F$55,[5]Listas!$G$55,""))</f>
        <v/>
      </c>
      <c r="Z99" s="331"/>
      <c r="AA99" s="182" t="str">
        <f>+IF(Z99=[5]Listas!$E$46,[5]Listas!$F$46,IF(Z99=[5]Listas!$E$47,[5]Listas!$F$47,""))</f>
        <v/>
      </c>
      <c r="AB99" s="183" t="str">
        <f t="shared" si="13"/>
        <v/>
      </c>
      <c r="AC99" s="319"/>
      <c r="AD99" s="322"/>
      <c r="AE99" s="323"/>
      <c r="AF99" s="305" t="str">
        <f t="shared" si="11"/>
        <v>Baja</v>
      </c>
      <c r="AG99" s="145">
        <f>IF(Y99=[5]Listas!$G$53,AG98-(AG98*AB99),AG98)</f>
        <v>0.36</v>
      </c>
      <c r="AH99" s="562"/>
      <c r="AI99" s="305" t="str">
        <f t="shared" si="9"/>
        <v>Catastrófico</v>
      </c>
      <c r="AJ99" s="145">
        <f>IF(Y99=[5]Listas!$G$55,AJ98-(AJ98*AB99),AJ98)</f>
        <v>1</v>
      </c>
      <c r="AK99" s="562"/>
      <c r="AL99" s="565"/>
      <c r="AM99" s="565"/>
      <c r="AN99" s="565"/>
      <c r="AO99" s="568"/>
      <c r="AP99" s="571"/>
      <c r="AQ99" s="343"/>
      <c r="AR99" s="191"/>
    </row>
    <row r="100" spans="2:44" ht="15" hidden="1" customHeight="1" thickTop="1" x14ac:dyDescent="0.35">
      <c r="B100" s="870"/>
      <c r="C100" s="559"/>
      <c r="D100" s="745"/>
      <c r="E100" s="577"/>
      <c r="F100" s="764"/>
      <c r="G100" s="686"/>
      <c r="H100" s="689"/>
      <c r="I100" s="589"/>
      <c r="J100" s="589"/>
      <c r="K100" s="592"/>
      <c r="L100" s="589"/>
      <c r="M100" s="595"/>
      <c r="N100" s="598"/>
      <c r="O100" s="601"/>
      <c r="P100" s="595"/>
      <c r="Q100" s="604"/>
      <c r="R100" s="601"/>
      <c r="S100" s="289"/>
      <c r="T100" s="604"/>
      <c r="U100" s="142" t="s">
        <v>223</v>
      </c>
      <c r="V100" s="418"/>
      <c r="W100" s="331"/>
      <c r="X100" s="320" t="str">
        <f>IF(W100=[5]Listas!$B$46,[5]Listas!$C$46,IF(W100=[5]Listas!$B$47,[5]Listas!$C$47,IF(W100=[5]Listas!$B$48,[5]Listas!$C$48,"")))</f>
        <v/>
      </c>
      <c r="Y100" s="321" t="str">
        <f>IF(OR(W100=[5]Listas!$F$53,W100=[5]Listas!$F$54),[5]Listas!$G$53,IF(W100=[5]Listas!$F$55,[5]Listas!$G$55,""))</f>
        <v/>
      </c>
      <c r="Z100" s="331"/>
      <c r="AA100" s="182" t="str">
        <f>+IF(Z100=[5]Listas!$E$46,[5]Listas!$F$46,IF(Z100=[5]Listas!$E$47,[5]Listas!$F$47,""))</f>
        <v/>
      </c>
      <c r="AB100" s="183" t="str">
        <f t="shared" si="13"/>
        <v/>
      </c>
      <c r="AC100" s="319"/>
      <c r="AD100" s="322"/>
      <c r="AE100" s="323"/>
      <c r="AF100" s="305" t="str">
        <f t="shared" si="11"/>
        <v>Baja</v>
      </c>
      <c r="AG100" s="145">
        <f>IF(Y100=[5]Listas!$G$53,AG99-(AG99*AB100),AG99)</f>
        <v>0.36</v>
      </c>
      <c r="AH100" s="562"/>
      <c r="AI100" s="305" t="str">
        <f t="shared" si="9"/>
        <v>Catastrófico</v>
      </c>
      <c r="AJ100" s="145">
        <f>IF(Y100=[5]Listas!$G$55,AJ99-(AJ99*AB100),AJ99)</f>
        <v>1</v>
      </c>
      <c r="AK100" s="562"/>
      <c r="AL100" s="565"/>
      <c r="AM100" s="565"/>
      <c r="AN100" s="565"/>
      <c r="AO100" s="568"/>
      <c r="AP100" s="571"/>
      <c r="AQ100" s="344"/>
      <c r="AR100" s="191"/>
    </row>
    <row r="101" spans="2:44" ht="15.75" hidden="1" customHeight="1" thickTop="1" x14ac:dyDescent="0.35">
      <c r="B101" s="870"/>
      <c r="C101" s="559"/>
      <c r="D101" s="810"/>
      <c r="E101" s="577"/>
      <c r="F101" s="765"/>
      <c r="G101" s="787"/>
      <c r="H101" s="789"/>
      <c r="I101" s="590"/>
      <c r="J101" s="590"/>
      <c r="K101" s="593"/>
      <c r="L101" s="589"/>
      <c r="M101" s="595"/>
      <c r="N101" s="599"/>
      <c r="O101" s="602"/>
      <c r="P101" s="596"/>
      <c r="Q101" s="605"/>
      <c r="R101" s="602"/>
      <c r="S101" s="290"/>
      <c r="T101" s="605"/>
      <c r="U101" s="142" t="s">
        <v>224</v>
      </c>
      <c r="V101" s="416"/>
      <c r="W101" s="335"/>
      <c r="X101" s="336" t="str">
        <f>IF(W101=[5]Listas!$B$46,[5]Listas!$C$46,IF(W101=[5]Listas!$B$47,[5]Listas!$C$47,IF(W101=[5]Listas!$B$48,[5]Listas!$C$48,"")))</f>
        <v/>
      </c>
      <c r="Y101" s="337" t="str">
        <f>IF(OR(W101=[5]Listas!$F$53,W101=[5]Listas!$F$54),[5]Listas!$G$53,IF(W101=[5]Listas!$F$55,[5]Listas!$G$55,""))</f>
        <v/>
      </c>
      <c r="Z101" s="335"/>
      <c r="AA101" s="186" t="str">
        <f>+IF(Z101=[5]Listas!$E$46,[5]Listas!$F$46,IF(Z101=[5]Listas!$E$47,[5]Listas!$F$47,""))</f>
        <v/>
      </c>
      <c r="AB101" s="187" t="str">
        <f t="shared" si="13"/>
        <v/>
      </c>
      <c r="AC101" s="338"/>
      <c r="AD101" s="339"/>
      <c r="AE101" s="340"/>
      <c r="AF101" s="311" t="str">
        <f t="shared" si="11"/>
        <v>Baja</v>
      </c>
      <c r="AG101" s="179">
        <f>IF(Y101=[5]Listas!$G$53,AG100-(AG100*AB101),AG100)</f>
        <v>0.36</v>
      </c>
      <c r="AH101" s="563"/>
      <c r="AI101" s="311" t="str">
        <f t="shared" si="9"/>
        <v>Catastrófico</v>
      </c>
      <c r="AJ101" s="179">
        <f>IF(Y101=[5]Listas!$G$55,AJ100-(AJ100*AB101),AJ100)</f>
        <v>1</v>
      </c>
      <c r="AK101" s="563"/>
      <c r="AL101" s="566"/>
      <c r="AM101" s="566"/>
      <c r="AN101" s="566"/>
      <c r="AO101" s="569"/>
      <c r="AP101" s="572"/>
      <c r="AQ101" s="345"/>
      <c r="AR101" s="197"/>
    </row>
    <row r="102" spans="2:44" ht="302.14999999999998" customHeight="1" thickTop="1" thickBot="1" x14ac:dyDescent="0.4">
      <c r="B102" s="870"/>
      <c r="C102" s="559"/>
      <c r="D102" s="809" t="s">
        <v>287</v>
      </c>
      <c r="E102" s="576" t="s">
        <v>5</v>
      </c>
      <c r="F102" s="766" t="s">
        <v>288</v>
      </c>
      <c r="G102" s="790" t="s">
        <v>289</v>
      </c>
      <c r="H102" s="793" t="s">
        <v>290</v>
      </c>
      <c r="I102" s="588" t="s">
        <v>24</v>
      </c>
      <c r="J102" s="588" t="s">
        <v>31</v>
      </c>
      <c r="K102" s="591"/>
      <c r="L102" s="588" t="s">
        <v>186</v>
      </c>
      <c r="M102" s="594" t="s">
        <v>214</v>
      </c>
      <c r="N102" s="597" t="str">
        <f>+IF(M102="","",IF(M102=$BO$15,$BN$15,IF(M102=$BO$16,$BN$16,IF(M102=$BO$17,$BN$17,IF(M102=$BO$18,$BN$18,IF(M102=$BO$19,$BN$19))))))</f>
        <v>Media</v>
      </c>
      <c r="O102" s="600">
        <f>+IF(M102="","",IF(M102=$BO$15,$BR$15,IF(M102=$BO$16,$BR$16,IF(M102=$BO$17,$BR$17,IF(M102=$BO$18,$BR$18,IF(M102=$BO$19,$BR$19))))))</f>
        <v>0.6</v>
      </c>
      <c r="P102" s="594" t="s">
        <v>195</v>
      </c>
      <c r="Q102" s="603" t="str">
        <f>+IF(P102="","",IF(P102='[5]Mapa de Calor inherente'!$AF$6,'[5]Mapa de Calor inherente'!$AD$6,IF(P102='[5]Mapa de Calor inherente'!$AF$7,'[5]Mapa de Calor inherente'!$AD$7,IF(P102='[5]Mapa de Calor inherente'!$AF$8,'[5]Mapa de Calor inherente'!$AD$8,IF(P102='[5]Mapa de Calor inherente'!$AF$9,'[5]Mapa de Calor inherente'!$AD$9,IF(P102='[5]Mapa de Calor inherente'!$AF$10,'[5]Mapa de Calor inherente'!$AD$10,IF(P102='[5]Mapa de Calor inherente'!$AG$6,'[5]Mapa de Calor inherente'!$AD$6,IF(P102='[5]Mapa de Calor inherente'!$AG$7,'[5]Mapa de Calor inherente'!$AD$7,IF(P102='[5]Mapa de Calor inherente'!$AG$8,'[5]Mapa de Calor inherente'!$AD$8,IF(P102='[5]Mapa de Calor inherente'!$AG$9,'[5]Mapa de Calor inherente'!$AD$9,IF(P102='[5]Mapa de Calor inherente'!$AG$10,'[5]Mapa de Calor inherente'!$AD$10,IF(P102='[5]Mapa de Calor inherente'!$AD$8,'[5]Mapa de Calor inherente'!$AD$8,IF(P102='[5]Mapa de Calor inherente'!$AD$9,'[5]Mapa de Calor inherente'!$AD$9,IF(P102='[5]Mapa de Calor inherente'!$AD$10,'[5]Mapa de Calor inherente'!$AD$10))))))))))))))</f>
        <v>Leve</v>
      </c>
      <c r="R102" s="600">
        <f>+IF(P102="","",IF(P102='[5]Mapa de Calor inherente'!$AF$6,'[5]Mapa de Calor inherente'!$AE$6,IF(P102='[5]Mapa de Calor inherente'!$AF$7,'[5]Mapa de Calor inherente'!$AE$7,IF(P102='[5]Mapa de Calor inherente'!$AF$8,'[5]Mapa de Calor inherente'!$AE$8,IF(P102='[5]Mapa de Calor inherente'!$AF$9,'[5]Mapa de Calor inherente'!$AE$9,IF(P102='[5]Mapa de Calor inherente'!$AF$10,'[5]Mapa de Calor inherente'!$AE$10,IF(P102='[5]Mapa de Calor inherente'!$AG$6,'[5]Mapa de Calor inherente'!$AE$6,IF(P102='[5]Mapa de Calor inherente'!$AG$7,'[5]Mapa de Calor inherente'!$AE$7,IF(P102='[5]Mapa de Calor inherente'!$AG$8,'[5]Mapa de Calor inherente'!$AE$8,IF(P102='[5]Mapa de Calor inherente'!$AG$9,'[5]Mapa de Calor inherente'!$AE$9,IF(P102='[5]Mapa de Calor inherente'!$AG$10,'[5]Mapa de Calor inherente'!$AE$10,IF(P102='[5]Mapa de Calor inherente'!$AD$8,'[5]Mapa de Calor inherente'!$AE$8,IF(P102='[5]Mapa de Calor inherente'!$AD$9,'[5]Mapa de Calor inherente'!$AE$9,IF(P102='[5]Mapa de Calor inherente'!$AD$10,'[5]Mapa de Calor inherente'!$AE$10))))))))))))))</f>
        <v>0.2</v>
      </c>
      <c r="S102" s="285"/>
      <c r="T102" s="603" t="str">
        <f>+IF(N102=$BB$17,IF(Q102=$BC$16,$BC$17,IF(Q102=$BD$16,$BD$17,IF(Q102=$BE$16,$BE$17,IF(Q102=$BF$16,$BF$17,IF(Q102=$BG$16,$BG$17))))),IF(N102=$BB$18,IF(Q102=$BC$16,$BC$18,IF(Q102=$BD$16,$BD$18,IF(Q102=$BE$16,$BE$18,IF(Q102=$BF$16,$BF$18,IF(Q102=$BG$16,$BG$18))))),IF(N102=$BB$19,IF(Q102=$BC$16,$BC$19,IF(Q102=$BD$16,$BD$19,IF(Q102=$BE$16,$BE$19,IF(Q102=$BF$16,$BF$19,IF(Q102=$BG$16,$BG$19))))),IF(N102=$BB$20,IF(Q102=$BC$16,$BC$20,IF(Q102=$BD$16,$BD$20,IF(Q102=$BE$16,$BE$20,IF(Q102=$BF$16,$BF$20,IF(Q102=$BG$16,$BG$20))))),IF(N102=$BB$21,IF(Q102=$BC$16,$BC$21,IF(Q102=$BD$16,$BD$21,IF(Q102=$BE$16,$BE$21,IF(Q102=$BF$16,$BF$21,IF(Q102=$BG$16,$BG$21))))),"")))))</f>
        <v>Moderado</v>
      </c>
      <c r="U102" s="139" t="s">
        <v>171</v>
      </c>
      <c r="V102" s="425" t="s">
        <v>291</v>
      </c>
      <c r="W102" s="313" t="s">
        <v>42</v>
      </c>
      <c r="X102" s="314">
        <f>IF(W102=[5]Listas!$B$46,[5]Listas!$C$46,IF(W102=[5]Listas!$B$47,[5]Listas!$C$47,IF(W102=[5]Listas!$B$48,[5]Listas!$C$48,"")))</f>
        <v>0.15</v>
      </c>
      <c r="Y102" s="315" t="str">
        <f>IF(OR(W102=[5]Listas!$F$53,W102=[5]Listas!$F$54),[5]Listas!$G$53,IF(W102=[5]Listas!$F$55,[5]Listas!$G$55,""))</f>
        <v>Probabilidad</v>
      </c>
      <c r="Z102" s="313" t="s">
        <v>43</v>
      </c>
      <c r="AA102" s="314">
        <f>+IF(Z102=[5]Listas!$E$46,[5]Listas!$F$46,IF(Z102=[5]Listas!$E$47,[5]Listas!$F$47,""))</f>
        <v>0.15</v>
      </c>
      <c r="AB102" s="181">
        <f>IFERROR(X102+AA102,"")</f>
        <v>0.3</v>
      </c>
      <c r="AC102" s="313" t="s">
        <v>64</v>
      </c>
      <c r="AD102" s="316" t="s">
        <v>58</v>
      </c>
      <c r="AE102" s="317" t="s">
        <v>59</v>
      </c>
      <c r="AF102" s="299" t="str">
        <f t="shared" si="11"/>
        <v>Media</v>
      </c>
      <c r="AG102" s="141">
        <f>IF(Y102=[5]Listas!$G$53,O102-(O102*AB102),O102)</f>
        <v>0.42</v>
      </c>
      <c r="AH102" s="561">
        <f>+IF(AG111="","",AG111)</f>
        <v>0.42</v>
      </c>
      <c r="AI102" s="299" t="str">
        <f>IF(AJ102="","",IF(AJ102&lt;=20%,"Leve",IF(AJ102&lt;=40%,"Menor",IF(AJ102&lt;=60%,"Moderado",IF(AJ102&lt;=80%,"Mayor","Catastrófico")))))</f>
        <v>Leve</v>
      </c>
      <c r="AJ102" s="141">
        <f>IF(Y102=[5]Listas!$G$55,R102-(R102*AB102),R102)</f>
        <v>0.2</v>
      </c>
      <c r="AK102" s="561">
        <f>+IF(AJ111="","",AJ111)</f>
        <v>0.2</v>
      </c>
      <c r="AL102" s="564" t="str">
        <f>+IF(AH102=0,"",IF(AH102&lt;=$BA$21,$BB$21,IF(AH102&lt;=$BA$20,$BB$20,IF(AH102&lt;=$BA$19,$BB$19,IF(AH102&lt;=$BA$18,$BB$18,IF(AH102&lt;=$BA$17,$BB$17,""))))))</f>
        <v>Media</v>
      </c>
      <c r="AM102" s="564" t="str">
        <f>+IF(AK102=0,"",IF(AK102&lt;=$BC$15,$BC$16,IF(AK102&lt;=$BD$15,$BD$16,IF(AK102&lt;=$BE$15,$BE$16,IF(AK102&lt;=$BF$15,$BF$16,IF(AK102&lt;=$BG$15,$BG$16,""))))))</f>
        <v>Leve</v>
      </c>
      <c r="AN102" s="564" t="str">
        <f>IF(AL102=$BB$17,IF(AM102=$BC$16,$BC$17,IF(AM102=$BD$16,$BD$17,IF(AM102=$BE$16,$BE$17,IF(AM102=$BF$16,$BF$17,IF(AM102=$BG$16,$BG$17))))),IF(AL102=$BB$18,IF(AM102=$BC$16,$BC$18,IF(AM102=$BD$16,$BD$18,IF(AM102=$BE$16,$BE$18,IF(AM102=$BF$16,$BF$18,IF(AM102=$BG$16,$BG$18))))),IF(AL102=$BB$19,IF(AM102=$BC$16,$BC$19,IF(AM102=$BD$16,$BD$19,IF(AM102=$BE$16,$BE$19,IF(AM102=$BF$16,$BF$19,IF(AM102=$BG$16,$BG$19))))),IF(AL102=$BB$20,IF(AM102=$BC$16,$BC$20,IF(AM102=$BD$16,$BD$20,IF(AM102=$BE$16,$BE$20,IF(AM102=$BF$16,$BF$20,IF(AM102=$BG$16,$BG$20))))),IF(AL102=$BB$21,IF(AM102=$BC$16,$BC$21,IF(AM102=$BD$16,$BD$21,IF(AM102=$BE$16,$BE$21,IF(AM102=$BF$16,$BF$21,IF(AM102=$BG$16,$BG$21))))),"")))))</f>
        <v>Moderado</v>
      </c>
      <c r="AO102" s="567" t="str">
        <f>IF(AP102="","",IF(AP102=[5]Listas!$F$61,[5]Listas!$G$61,IF(AP102=[5]Listas!$F$63,[5]Listas!$G$63,IF(AP102=[5]Listas!$F$64,[5]Listas!$G$64))))</f>
        <v>Requiere Plan de Acción</v>
      </c>
      <c r="AP102" s="570" t="str">
        <f>IF(AN102="","",IF(OR(AN102=[5]Listas!$E$61,AN102=[5]Listas!$E$62),[5]Listas!$F$61,IF(AN102=[5]Listas!$E$63,[5]Listas!$F$63,IF(AN102=[5]Listas!$E$64,[5]Listas!$F$64))))</f>
        <v>Aceptar o reducir el riesgo</v>
      </c>
      <c r="AQ102" s="300" t="s">
        <v>80</v>
      </c>
      <c r="AR102" s="116" t="s">
        <v>292</v>
      </c>
    </row>
    <row r="103" spans="2:44" ht="57" thickTop="1" thickBot="1" x14ac:dyDescent="0.4">
      <c r="B103" s="870"/>
      <c r="C103" s="559"/>
      <c r="D103" s="745"/>
      <c r="E103" s="577"/>
      <c r="F103" s="646"/>
      <c r="G103" s="791"/>
      <c r="H103" s="794"/>
      <c r="I103" s="589"/>
      <c r="J103" s="589"/>
      <c r="K103" s="592"/>
      <c r="L103" s="589"/>
      <c r="M103" s="595"/>
      <c r="N103" s="598"/>
      <c r="O103" s="601"/>
      <c r="P103" s="595"/>
      <c r="Q103" s="604"/>
      <c r="R103" s="601"/>
      <c r="S103" s="286"/>
      <c r="T103" s="604"/>
      <c r="U103" s="142" t="s">
        <v>174</v>
      </c>
      <c r="V103" s="415"/>
      <c r="W103" s="319"/>
      <c r="X103" s="320" t="str">
        <f>IF(W103=[5]Listas!$B$46,[5]Listas!$C$46,IF(W103=[5]Listas!$B$47,[5]Listas!$C$47,IF(W103=[5]Listas!$B$48,[5]Listas!$C$48,"")))</f>
        <v/>
      </c>
      <c r="Y103" s="321" t="str">
        <f>IF(OR(W103=[5]Listas!$F$53,W103=[5]Listas!$F$54),[5]Listas!$G$53,IF(W103=[5]Listas!$F$55,[5]Listas!$G$55,""))</f>
        <v/>
      </c>
      <c r="Z103" s="319"/>
      <c r="AA103" s="182" t="str">
        <f>+IF(Z103=[5]Listas!$E$46,[5]Listas!$F$46,IF(Z103=[5]Listas!$E$47,[5]Listas!$F$47,""))</f>
        <v/>
      </c>
      <c r="AB103" s="183" t="str">
        <f>IFERROR(X103+AA103,"")</f>
        <v/>
      </c>
      <c r="AC103" s="319"/>
      <c r="AD103" s="322"/>
      <c r="AE103" s="323"/>
      <c r="AF103" s="305" t="str">
        <f t="shared" si="11"/>
        <v>Media</v>
      </c>
      <c r="AG103" s="145">
        <f>IF(Y103=[5]Listas!$G$53,AG102-(AG102*AB103),AG102)</f>
        <v>0.42</v>
      </c>
      <c r="AH103" s="562"/>
      <c r="AI103" s="305" t="str">
        <f t="shared" si="9"/>
        <v>Leve</v>
      </c>
      <c r="AJ103" s="145">
        <f>IF(Y103=[5]Listas!$G$55,AJ102-(AJ102*AB103),AJ102)</f>
        <v>0.2</v>
      </c>
      <c r="AK103" s="562"/>
      <c r="AL103" s="565"/>
      <c r="AM103" s="565"/>
      <c r="AN103" s="565"/>
      <c r="AO103" s="568"/>
      <c r="AP103" s="571"/>
      <c r="AQ103" s="306" t="s">
        <v>90</v>
      </c>
      <c r="AR103" s="198" t="s">
        <v>293</v>
      </c>
    </row>
    <row r="104" spans="2:44" ht="15.65" hidden="1" customHeight="1" thickTop="1" x14ac:dyDescent="0.35">
      <c r="B104" s="870"/>
      <c r="C104" s="559"/>
      <c r="D104" s="745"/>
      <c r="E104" s="577"/>
      <c r="F104" s="646"/>
      <c r="G104" s="791"/>
      <c r="H104" s="794"/>
      <c r="I104" s="589"/>
      <c r="J104" s="589"/>
      <c r="K104" s="592"/>
      <c r="L104" s="589"/>
      <c r="M104" s="595"/>
      <c r="N104" s="598"/>
      <c r="O104" s="601"/>
      <c r="P104" s="595"/>
      <c r="Q104" s="604"/>
      <c r="R104" s="601"/>
      <c r="S104" s="287"/>
      <c r="T104" s="604"/>
      <c r="U104" s="142" t="s">
        <v>180</v>
      </c>
      <c r="V104" s="415"/>
      <c r="W104" s="319"/>
      <c r="X104" s="320" t="str">
        <f>IF(W104=[5]Listas!$B$46,[5]Listas!$C$46,IF(W104=[5]Listas!$B$47,[5]Listas!$C$47,IF(W104=[5]Listas!$B$48,[5]Listas!$C$48,"")))</f>
        <v/>
      </c>
      <c r="Y104" s="321" t="str">
        <f>IF(OR(W104=[5]Listas!$F$53,W104=[5]Listas!$F$54),[5]Listas!$G$53,IF(W104=[5]Listas!$F$55,[5]Listas!$G$55,""))</f>
        <v/>
      </c>
      <c r="Z104" s="319"/>
      <c r="AA104" s="182" t="str">
        <f>+IF(Z104=[5]Listas!$E$46,[5]Listas!$F$46,IF(Z104=[5]Listas!$E$47,[5]Listas!$F$47,""))</f>
        <v/>
      </c>
      <c r="AB104" s="183" t="str">
        <f>IFERROR(X104+AA104,"")</f>
        <v/>
      </c>
      <c r="AC104" s="319"/>
      <c r="AD104" s="322"/>
      <c r="AE104" s="323"/>
      <c r="AF104" s="305" t="str">
        <f t="shared" si="11"/>
        <v>Media</v>
      </c>
      <c r="AG104" s="145">
        <f>IF(Y104=[5]Listas!$G$53,AG103-(AG103*AB104),AG103)</f>
        <v>0.42</v>
      </c>
      <c r="AH104" s="562"/>
      <c r="AI104" s="305" t="str">
        <f t="shared" si="9"/>
        <v>Leve</v>
      </c>
      <c r="AJ104" s="145">
        <f>IF(Y104=[5]Listas!$G$55,AJ103-(AJ103*AB104),AJ103)</f>
        <v>0.2</v>
      </c>
      <c r="AK104" s="562"/>
      <c r="AL104" s="565"/>
      <c r="AM104" s="565"/>
      <c r="AN104" s="565"/>
      <c r="AO104" s="568"/>
      <c r="AP104" s="571"/>
      <c r="AQ104" s="306"/>
      <c r="AR104" s="117"/>
    </row>
    <row r="105" spans="2:44" ht="15.65" hidden="1" customHeight="1" thickTop="1" x14ac:dyDescent="0.35">
      <c r="B105" s="870"/>
      <c r="C105" s="559"/>
      <c r="D105" s="745"/>
      <c r="E105" s="577"/>
      <c r="F105" s="646"/>
      <c r="G105" s="791"/>
      <c r="H105" s="794"/>
      <c r="I105" s="589"/>
      <c r="J105" s="589"/>
      <c r="K105" s="592"/>
      <c r="L105" s="589"/>
      <c r="M105" s="595"/>
      <c r="N105" s="598"/>
      <c r="O105" s="601"/>
      <c r="P105" s="595"/>
      <c r="Q105" s="604"/>
      <c r="R105" s="601"/>
      <c r="S105" s="287"/>
      <c r="T105" s="604"/>
      <c r="U105" s="142" t="s">
        <v>190</v>
      </c>
      <c r="V105" s="415"/>
      <c r="W105" s="319"/>
      <c r="X105" s="320" t="str">
        <f>IF(W105=[5]Listas!$B$46,[5]Listas!$C$46,IF(W105=[5]Listas!$B$47,[5]Listas!$C$47,IF(W105=[5]Listas!$B$48,[5]Listas!$C$48,"")))</f>
        <v/>
      </c>
      <c r="Y105" s="321" t="str">
        <f>IF(OR(W105=[5]Listas!$F$53,W105=[5]Listas!$F$54),[5]Listas!$G$53,IF(W105=[5]Listas!$F$55,[5]Listas!$G$55,""))</f>
        <v/>
      </c>
      <c r="Z105" s="319"/>
      <c r="AA105" s="182" t="str">
        <f>+IF(Z105=[5]Listas!$E$46,[5]Listas!$F$46,IF(Z105=[5]Listas!$E$47,[5]Listas!$F$47,""))</f>
        <v/>
      </c>
      <c r="AB105" s="183" t="str">
        <f t="shared" ref="AB105:AB111" si="14">IFERROR(X105+AA105,"")</f>
        <v/>
      </c>
      <c r="AC105" s="319"/>
      <c r="AD105" s="322"/>
      <c r="AE105" s="323"/>
      <c r="AF105" s="305" t="str">
        <f t="shared" si="11"/>
        <v>Media</v>
      </c>
      <c r="AG105" s="145">
        <f>IF(Y105=[5]Listas!$G$53,AG104-(AG104*AB105),AG104)</f>
        <v>0.42</v>
      </c>
      <c r="AH105" s="562"/>
      <c r="AI105" s="305" t="str">
        <f t="shared" si="9"/>
        <v>Leve</v>
      </c>
      <c r="AJ105" s="145">
        <f>IF(Y105=[5]Listas!$G$55,AJ104-(AJ104*AB105),AJ104)</f>
        <v>0.2</v>
      </c>
      <c r="AK105" s="562"/>
      <c r="AL105" s="565"/>
      <c r="AM105" s="565"/>
      <c r="AN105" s="565"/>
      <c r="AO105" s="568"/>
      <c r="AP105" s="571"/>
      <c r="AQ105" s="306"/>
      <c r="AR105" s="117"/>
    </row>
    <row r="106" spans="2:44" ht="15.65" hidden="1" customHeight="1" thickTop="1" x14ac:dyDescent="0.35">
      <c r="B106" s="870"/>
      <c r="C106" s="559"/>
      <c r="D106" s="745"/>
      <c r="E106" s="577"/>
      <c r="F106" s="646"/>
      <c r="G106" s="791"/>
      <c r="H106" s="794"/>
      <c r="I106" s="589"/>
      <c r="J106" s="589"/>
      <c r="K106" s="592"/>
      <c r="L106" s="589"/>
      <c r="M106" s="595"/>
      <c r="N106" s="598"/>
      <c r="O106" s="601"/>
      <c r="P106" s="595"/>
      <c r="Q106" s="604"/>
      <c r="R106" s="601"/>
      <c r="S106" s="287"/>
      <c r="T106" s="604"/>
      <c r="U106" s="142" t="s">
        <v>198</v>
      </c>
      <c r="V106" s="415"/>
      <c r="W106" s="319"/>
      <c r="X106" s="320" t="str">
        <f>IF(W106=[5]Listas!$B$46,[5]Listas!$C$46,IF(W106=[5]Listas!$B$47,[5]Listas!$C$47,IF(W106=[5]Listas!$B$48,[5]Listas!$C$48,"")))</f>
        <v/>
      </c>
      <c r="Y106" s="321" t="str">
        <f>IF(OR(W106=[5]Listas!$F$53,W106=[5]Listas!$F$54),[5]Listas!$G$53,IF(W106=[5]Listas!$F$55,[5]Listas!$G$55,""))</f>
        <v/>
      </c>
      <c r="Z106" s="319"/>
      <c r="AA106" s="182" t="str">
        <f>+IF(Z106=[5]Listas!$E$46,[5]Listas!$F$46,IF(Z106=[5]Listas!$E$47,[5]Listas!$F$47,""))</f>
        <v/>
      </c>
      <c r="AB106" s="183" t="str">
        <f t="shared" si="14"/>
        <v/>
      </c>
      <c r="AC106" s="319"/>
      <c r="AD106" s="322"/>
      <c r="AE106" s="323"/>
      <c r="AF106" s="305" t="str">
        <f t="shared" si="11"/>
        <v>Media</v>
      </c>
      <c r="AG106" s="145">
        <f>IF(Y106=[5]Listas!$G$53,AG105-(AG105*AB106),AG105)</f>
        <v>0.42</v>
      </c>
      <c r="AH106" s="562"/>
      <c r="AI106" s="305" t="str">
        <f t="shared" si="9"/>
        <v>Leve</v>
      </c>
      <c r="AJ106" s="145">
        <f>IF(Y106=[5]Listas!$G$55,AJ105-(AJ105*AB106),AJ105)</f>
        <v>0.2</v>
      </c>
      <c r="AK106" s="562"/>
      <c r="AL106" s="565"/>
      <c r="AM106" s="565"/>
      <c r="AN106" s="565"/>
      <c r="AO106" s="568"/>
      <c r="AP106" s="571"/>
      <c r="AQ106" s="306"/>
      <c r="AR106" s="117"/>
    </row>
    <row r="107" spans="2:44" ht="16" hidden="1" customHeight="1" thickTop="1" x14ac:dyDescent="0.35">
      <c r="B107" s="870"/>
      <c r="C107" s="559"/>
      <c r="D107" s="745"/>
      <c r="E107" s="577"/>
      <c r="F107" s="646"/>
      <c r="G107" s="791"/>
      <c r="H107" s="794"/>
      <c r="I107" s="589"/>
      <c r="J107" s="589"/>
      <c r="K107" s="592"/>
      <c r="L107" s="589"/>
      <c r="M107" s="595"/>
      <c r="N107" s="598"/>
      <c r="O107" s="601"/>
      <c r="P107" s="595"/>
      <c r="Q107" s="604"/>
      <c r="R107" s="601"/>
      <c r="S107" s="288"/>
      <c r="T107" s="604"/>
      <c r="U107" s="142" t="s">
        <v>208</v>
      </c>
      <c r="V107" s="415"/>
      <c r="W107" s="319"/>
      <c r="X107" s="320" t="str">
        <f>IF(W107=[5]Listas!$B$46,[5]Listas!$C$46,IF(W107=[5]Listas!$B$47,[5]Listas!$C$47,IF(W107=[5]Listas!$B$48,[5]Listas!$C$48,"")))</f>
        <v/>
      </c>
      <c r="Y107" s="321" t="str">
        <f>IF(OR(W107=[5]Listas!$F$53,W107=[5]Listas!$F$54),[5]Listas!$G$53,IF(W107=[5]Listas!$F$55,[5]Listas!$G$55,""))</f>
        <v/>
      </c>
      <c r="Z107" s="319"/>
      <c r="AA107" s="182" t="str">
        <f>+IF(Z107=[5]Listas!$E$46,[5]Listas!$F$46,IF(Z107=[5]Listas!$E$47,[5]Listas!$F$47,""))</f>
        <v/>
      </c>
      <c r="AB107" s="183" t="str">
        <f t="shared" si="14"/>
        <v/>
      </c>
      <c r="AC107" s="319"/>
      <c r="AD107" s="322"/>
      <c r="AE107" s="323"/>
      <c r="AF107" s="305" t="str">
        <f t="shared" si="11"/>
        <v>Media</v>
      </c>
      <c r="AG107" s="145">
        <f>IF(Y107=[5]Listas!$G$53,AG106-(AG106*AB107),AG106)</f>
        <v>0.42</v>
      </c>
      <c r="AH107" s="562"/>
      <c r="AI107" s="305" t="str">
        <f t="shared" si="9"/>
        <v>Leve</v>
      </c>
      <c r="AJ107" s="145">
        <f>IF(Y107=[5]Listas!$G$55,AJ106-(AJ106*AB107),AJ106)</f>
        <v>0.2</v>
      </c>
      <c r="AK107" s="562"/>
      <c r="AL107" s="565"/>
      <c r="AM107" s="565"/>
      <c r="AN107" s="565"/>
      <c r="AO107" s="568"/>
      <c r="AP107" s="571"/>
      <c r="AQ107" s="306"/>
      <c r="AR107" s="117"/>
    </row>
    <row r="108" spans="2:44" ht="15.65" hidden="1" customHeight="1" thickTop="1" x14ac:dyDescent="0.35">
      <c r="B108" s="870"/>
      <c r="C108" s="559"/>
      <c r="D108" s="745"/>
      <c r="E108" s="577"/>
      <c r="F108" s="646"/>
      <c r="G108" s="791"/>
      <c r="H108" s="794"/>
      <c r="I108" s="589"/>
      <c r="J108" s="589"/>
      <c r="K108" s="592"/>
      <c r="L108" s="589"/>
      <c r="M108" s="595"/>
      <c r="N108" s="598"/>
      <c r="O108" s="601"/>
      <c r="P108" s="595"/>
      <c r="Q108" s="604"/>
      <c r="R108" s="601"/>
      <c r="S108" s="289"/>
      <c r="T108" s="604"/>
      <c r="U108" s="142" t="s">
        <v>215</v>
      </c>
      <c r="V108" s="418"/>
      <c r="W108" s="331"/>
      <c r="X108" s="320" t="str">
        <f>IF(W108=[5]Listas!$B$46,[5]Listas!$C$46,IF(W108=[5]Listas!$B$47,[5]Listas!$C$47,IF(W108=[5]Listas!$B$48,[5]Listas!$C$48,"")))</f>
        <v/>
      </c>
      <c r="Y108" s="321" t="str">
        <f>IF(OR(W108=[5]Listas!$F$53,W108=[5]Listas!$F$54),[5]Listas!$G$53,IF(W108=[5]Listas!$F$55,[5]Listas!$G$55,""))</f>
        <v/>
      </c>
      <c r="Z108" s="331"/>
      <c r="AA108" s="182" t="str">
        <f>+IF(Z108=[5]Listas!$E$46,[5]Listas!$F$46,IF(Z108=[5]Listas!$E$47,[5]Listas!$F$47,""))</f>
        <v/>
      </c>
      <c r="AB108" s="183" t="str">
        <f t="shared" si="14"/>
        <v/>
      </c>
      <c r="AC108" s="319"/>
      <c r="AD108" s="322"/>
      <c r="AE108" s="323"/>
      <c r="AF108" s="305" t="str">
        <f t="shared" si="11"/>
        <v>Media</v>
      </c>
      <c r="AG108" s="145">
        <f>IF(Y108=[5]Listas!$G$53,AG107-(AG107*AB108),AG107)</f>
        <v>0.42</v>
      </c>
      <c r="AH108" s="562"/>
      <c r="AI108" s="305" t="str">
        <f t="shared" si="9"/>
        <v>Leve</v>
      </c>
      <c r="AJ108" s="145">
        <f>IF(Y108=[5]Listas!$G$55,AJ107-(AJ107*AB108),AJ107)</f>
        <v>0.2</v>
      </c>
      <c r="AK108" s="562"/>
      <c r="AL108" s="565"/>
      <c r="AM108" s="565"/>
      <c r="AN108" s="565"/>
      <c r="AO108" s="568"/>
      <c r="AP108" s="571"/>
      <c r="AQ108" s="306"/>
      <c r="AR108" s="117"/>
    </row>
    <row r="109" spans="2:44" ht="15.65" hidden="1" customHeight="1" thickTop="1" x14ac:dyDescent="0.35">
      <c r="B109" s="870"/>
      <c r="C109" s="559"/>
      <c r="D109" s="745"/>
      <c r="E109" s="577"/>
      <c r="F109" s="646"/>
      <c r="G109" s="791"/>
      <c r="H109" s="794"/>
      <c r="I109" s="589"/>
      <c r="J109" s="589"/>
      <c r="K109" s="592"/>
      <c r="L109" s="589"/>
      <c r="M109" s="595"/>
      <c r="N109" s="598"/>
      <c r="O109" s="601"/>
      <c r="P109" s="595"/>
      <c r="Q109" s="604"/>
      <c r="R109" s="601"/>
      <c r="S109" s="289"/>
      <c r="T109" s="604"/>
      <c r="U109" s="142" t="s">
        <v>220</v>
      </c>
      <c r="V109" s="418"/>
      <c r="W109" s="331"/>
      <c r="X109" s="320" t="str">
        <f>IF(W109=[5]Listas!$B$46,[5]Listas!$C$46,IF(W109=[5]Listas!$B$47,[5]Listas!$C$47,IF(W109=[5]Listas!$B$48,[5]Listas!$C$48,"")))</f>
        <v/>
      </c>
      <c r="Y109" s="321" t="str">
        <f>IF(OR(W109=[5]Listas!$F$53,W109=[5]Listas!$F$54),[5]Listas!$G$53,IF(W109=[5]Listas!$F$55,[5]Listas!$G$55,""))</f>
        <v/>
      </c>
      <c r="Z109" s="331"/>
      <c r="AA109" s="182" t="str">
        <f>+IF(Z109=[5]Listas!$E$46,[5]Listas!$F$46,IF(Z109=[5]Listas!$E$47,[5]Listas!$F$47,""))</f>
        <v/>
      </c>
      <c r="AB109" s="183" t="str">
        <f t="shared" si="14"/>
        <v/>
      </c>
      <c r="AC109" s="319"/>
      <c r="AD109" s="322"/>
      <c r="AE109" s="323"/>
      <c r="AF109" s="305" t="str">
        <f t="shared" si="11"/>
        <v>Media</v>
      </c>
      <c r="AG109" s="145">
        <f>IF(Y109=[5]Listas!$G$53,AG108-(AG108*AB109),AG108)</f>
        <v>0.42</v>
      </c>
      <c r="AH109" s="562"/>
      <c r="AI109" s="305" t="str">
        <f t="shared" si="9"/>
        <v>Leve</v>
      </c>
      <c r="AJ109" s="145">
        <f>IF(Y109=[5]Listas!$G$55,AJ108-(AJ108*AB109),AJ108)</f>
        <v>0.2</v>
      </c>
      <c r="AK109" s="562"/>
      <c r="AL109" s="565"/>
      <c r="AM109" s="565"/>
      <c r="AN109" s="565"/>
      <c r="AO109" s="568"/>
      <c r="AP109" s="571"/>
      <c r="AQ109" s="344"/>
      <c r="AR109" s="199"/>
    </row>
    <row r="110" spans="2:44" ht="15.65" hidden="1" customHeight="1" thickTop="1" x14ac:dyDescent="0.35">
      <c r="B110" s="870"/>
      <c r="C110" s="559"/>
      <c r="D110" s="745"/>
      <c r="E110" s="577"/>
      <c r="F110" s="646"/>
      <c r="G110" s="791"/>
      <c r="H110" s="794"/>
      <c r="I110" s="589"/>
      <c r="J110" s="589"/>
      <c r="K110" s="592"/>
      <c r="L110" s="589"/>
      <c r="M110" s="595"/>
      <c r="N110" s="598"/>
      <c r="O110" s="601"/>
      <c r="P110" s="595"/>
      <c r="Q110" s="604"/>
      <c r="R110" s="601"/>
      <c r="S110" s="289"/>
      <c r="T110" s="604"/>
      <c r="U110" s="142" t="s">
        <v>223</v>
      </c>
      <c r="V110" s="418"/>
      <c r="W110" s="331"/>
      <c r="X110" s="320" t="str">
        <f>IF(W110=[5]Listas!$B$46,[5]Listas!$C$46,IF(W110=[5]Listas!$B$47,[5]Listas!$C$47,IF(W110=[5]Listas!$B$48,[5]Listas!$C$48,"")))</f>
        <v/>
      </c>
      <c r="Y110" s="321" t="str">
        <f>IF(OR(W110=[5]Listas!$F$53,W110=[5]Listas!$F$54),[5]Listas!$G$53,IF(W110=[5]Listas!$F$55,[5]Listas!$G$55,""))</f>
        <v/>
      </c>
      <c r="Z110" s="331"/>
      <c r="AA110" s="182" t="str">
        <f>+IF(Z110=[5]Listas!$E$46,[5]Listas!$F$46,IF(Z110=[5]Listas!$E$47,[5]Listas!$F$47,""))</f>
        <v/>
      </c>
      <c r="AB110" s="183" t="str">
        <f t="shared" si="14"/>
        <v/>
      </c>
      <c r="AC110" s="319"/>
      <c r="AD110" s="322"/>
      <c r="AE110" s="323"/>
      <c r="AF110" s="305" t="str">
        <f t="shared" si="11"/>
        <v>Media</v>
      </c>
      <c r="AG110" s="145">
        <f>IF(Y110=[5]Listas!$G$53,AG109-(AG109*AB110),AG109)</f>
        <v>0.42</v>
      </c>
      <c r="AH110" s="562"/>
      <c r="AI110" s="305" t="str">
        <f t="shared" si="9"/>
        <v>Leve</v>
      </c>
      <c r="AJ110" s="145">
        <f>IF(Y110=[5]Listas!$G$55,AJ109-(AJ109*AB110),AJ109)</f>
        <v>0.2</v>
      </c>
      <c r="AK110" s="562"/>
      <c r="AL110" s="565"/>
      <c r="AM110" s="565"/>
      <c r="AN110" s="565"/>
      <c r="AO110" s="568"/>
      <c r="AP110" s="571"/>
      <c r="AQ110" s="344"/>
      <c r="AR110" s="191"/>
    </row>
    <row r="111" spans="2:44" ht="16" hidden="1" customHeight="1" thickTop="1" x14ac:dyDescent="0.35">
      <c r="B111" s="870"/>
      <c r="C111" s="559"/>
      <c r="D111" s="745"/>
      <c r="E111" s="577"/>
      <c r="F111" s="767"/>
      <c r="G111" s="792"/>
      <c r="H111" s="795"/>
      <c r="I111" s="590"/>
      <c r="J111" s="590"/>
      <c r="K111" s="593"/>
      <c r="L111" s="589"/>
      <c r="M111" s="595"/>
      <c r="N111" s="599"/>
      <c r="O111" s="602"/>
      <c r="P111" s="596"/>
      <c r="Q111" s="605"/>
      <c r="R111" s="602"/>
      <c r="S111" s="290"/>
      <c r="T111" s="605"/>
      <c r="U111" s="142" t="s">
        <v>224</v>
      </c>
      <c r="V111" s="416"/>
      <c r="W111" s="335"/>
      <c r="X111" s="336" t="str">
        <f>IF(W111=[5]Listas!$B$46,[5]Listas!$C$46,IF(W111=[5]Listas!$B$47,[5]Listas!$C$47,IF(W111=[5]Listas!$B$48,[5]Listas!$C$48,"")))</f>
        <v/>
      </c>
      <c r="Y111" s="337" t="str">
        <f>IF(OR(W111=[5]Listas!$F$53,W111=[5]Listas!$F$54),[5]Listas!$G$53,IF(W111=[5]Listas!$F$55,[5]Listas!$G$55,""))</f>
        <v/>
      </c>
      <c r="Z111" s="335"/>
      <c r="AA111" s="186" t="str">
        <f>+IF(Z111=[5]Listas!$E$46,[5]Listas!$F$46,IF(Z111=[5]Listas!$E$47,[5]Listas!$F$47,""))</f>
        <v/>
      </c>
      <c r="AB111" s="187" t="str">
        <f t="shared" si="14"/>
        <v/>
      </c>
      <c r="AC111" s="338"/>
      <c r="AD111" s="339"/>
      <c r="AE111" s="340"/>
      <c r="AF111" s="311" t="str">
        <f t="shared" si="11"/>
        <v>Media</v>
      </c>
      <c r="AG111" s="179">
        <f>IF(Y111=[5]Listas!$G$53,AG110-(AG110*AB111),AG110)</f>
        <v>0.42</v>
      </c>
      <c r="AH111" s="563"/>
      <c r="AI111" s="311" t="str">
        <f t="shared" si="9"/>
        <v>Leve</v>
      </c>
      <c r="AJ111" s="179">
        <f>IF(Y111=[5]Listas!$G$55,AJ110-(AJ110*AB111),AJ110)</f>
        <v>0.2</v>
      </c>
      <c r="AK111" s="563"/>
      <c r="AL111" s="566"/>
      <c r="AM111" s="566"/>
      <c r="AN111" s="566"/>
      <c r="AO111" s="569"/>
      <c r="AP111" s="572"/>
      <c r="AQ111" s="346"/>
      <c r="AR111" s="197"/>
    </row>
    <row r="112" spans="2:44" ht="135.65" customHeight="1" thickTop="1" thickBot="1" x14ac:dyDescent="0.4">
      <c r="B112" s="870"/>
      <c r="C112" s="559"/>
      <c r="D112" s="809" t="s">
        <v>294</v>
      </c>
      <c r="E112" s="576" t="s">
        <v>5</v>
      </c>
      <c r="F112" s="780" t="s">
        <v>295</v>
      </c>
      <c r="G112" s="783" t="s">
        <v>296</v>
      </c>
      <c r="H112" s="777" t="s">
        <v>297</v>
      </c>
      <c r="I112" s="588" t="s">
        <v>20</v>
      </c>
      <c r="J112" s="588" t="s">
        <v>22</v>
      </c>
      <c r="K112" s="591"/>
      <c r="L112" s="588" t="s">
        <v>186</v>
      </c>
      <c r="M112" s="594" t="s">
        <v>214</v>
      </c>
      <c r="N112" s="597" t="str">
        <f>+IF(M112="","",IF(M112=$BO$15,$BN$15,IF(M112=$BO$16,$BN$16,IF(M112=$BO$17,$BN$17,IF(M112=$BO$18,$BN$18,IF(M112=$BO$19,$BN$19))))))</f>
        <v>Media</v>
      </c>
      <c r="O112" s="600">
        <f>+IF(M112="","",IF(M112=$BO$15,$BR$15,IF(M112=$BO$16,$BR$16,IF(M112=$BO$17,$BR$17,IF(M112=$BO$18,$BR$18,IF(M112=$BO$19,$BR$19))))))</f>
        <v>0.6</v>
      </c>
      <c r="P112" s="594" t="s">
        <v>195</v>
      </c>
      <c r="Q112" s="603" t="str">
        <f>+IF(P112="","",IF(P112='[5]Mapa de Calor inherente'!$AF$6,'[5]Mapa de Calor inherente'!$AD$6,IF(P112='[5]Mapa de Calor inherente'!$AF$7,'[5]Mapa de Calor inherente'!$AD$7,IF(P112='[5]Mapa de Calor inherente'!$AF$8,'[5]Mapa de Calor inherente'!$AD$8,IF(P112='[5]Mapa de Calor inherente'!$AF$9,'[5]Mapa de Calor inherente'!$AD$9,IF(P112='[5]Mapa de Calor inherente'!$AF$10,'[5]Mapa de Calor inherente'!$AD$10,IF(P112='[5]Mapa de Calor inherente'!$AG$6,'[5]Mapa de Calor inherente'!$AD$6,IF(P112='[5]Mapa de Calor inherente'!$AG$7,'[5]Mapa de Calor inherente'!$AD$7,IF(P112='[5]Mapa de Calor inherente'!$AG$8,'[5]Mapa de Calor inherente'!$AD$8,IF(P112='[5]Mapa de Calor inherente'!$AG$9,'[5]Mapa de Calor inherente'!$AD$9,IF(P112='[5]Mapa de Calor inherente'!$AG$10,'[5]Mapa de Calor inherente'!$AD$10,IF(P112='[5]Mapa de Calor inherente'!$AD$8,'[5]Mapa de Calor inherente'!$AD$8,IF(P112='[5]Mapa de Calor inherente'!$AD$9,'[5]Mapa de Calor inherente'!$AD$9,IF(P112='[5]Mapa de Calor inherente'!$AD$10,'[5]Mapa de Calor inherente'!$AD$10))))))))))))))</f>
        <v>Leve</v>
      </c>
      <c r="R112" s="600">
        <f>+IF(P112="","",IF(P112='[5]Mapa de Calor inherente'!$AF$6,'[5]Mapa de Calor inherente'!$AE$6,IF(P112='[5]Mapa de Calor inherente'!$AF$7,'[5]Mapa de Calor inherente'!$AE$7,IF(P112='[5]Mapa de Calor inherente'!$AF$8,'[5]Mapa de Calor inherente'!$AE$8,IF(P112='[5]Mapa de Calor inherente'!$AF$9,'[5]Mapa de Calor inherente'!$AE$9,IF(P112='[5]Mapa de Calor inherente'!$AF$10,'[5]Mapa de Calor inherente'!$AE$10,IF(P112='[5]Mapa de Calor inherente'!$AG$6,'[5]Mapa de Calor inherente'!$AE$6,IF(P112='[5]Mapa de Calor inherente'!$AG$7,'[5]Mapa de Calor inherente'!$AE$7,IF(P112='[5]Mapa de Calor inherente'!$AG$8,'[5]Mapa de Calor inherente'!$AE$8,IF(P112='[5]Mapa de Calor inherente'!$AG$9,'[5]Mapa de Calor inherente'!$AE$9,IF(P112='[5]Mapa de Calor inherente'!$AG$10,'[5]Mapa de Calor inherente'!$AE$10,IF(P112='[5]Mapa de Calor inherente'!$AD$8,'[5]Mapa de Calor inherente'!$AE$8,IF(P112='[5]Mapa de Calor inherente'!$AD$9,'[5]Mapa de Calor inherente'!$AE$9,IF(P112='[5]Mapa de Calor inherente'!$AD$10,'[5]Mapa de Calor inherente'!$AE$10))))))))))))))</f>
        <v>0.2</v>
      </c>
      <c r="S112" s="285" t="e">
        <f>IF(N112="","",IF(R112="","",(N112*R112)))</f>
        <v>#VALUE!</v>
      </c>
      <c r="T112" s="603" t="str">
        <f>+IF(N112=$BB$17,IF(Q112=$BC$16,$BC$17,IF(Q112=$BD$16,$BD$17,IF(Q112=$BE$16,$BE$17,IF(Q112=$BF$16,$BF$17,IF(Q112=$BG$16,$BG$17))))),IF(N112=$BB$18,IF(Q112=$BC$16,$BC$18,IF(Q112=$BD$16,$BD$18,IF(Q112=$BE$16,$BE$18,IF(Q112=$BF$16,$BF$18,IF(Q112=$BG$16,$BG$18))))),IF(N112=$BB$19,IF(Q112=$BC$16,$BC$19,IF(Q112=$BD$16,$BD$19,IF(Q112=$BE$16,$BE$19,IF(Q112=$BF$16,$BF$19,IF(Q112=$BG$16,$BG$19))))),IF(N112=$BB$20,IF(Q112=$BC$16,$BC$20,IF(Q112=$BD$16,$BD$20,IF(Q112=$BE$16,$BE$20,IF(Q112=$BF$16,$BF$20,IF(Q112=$BG$16,$BG$20))))),IF(N112=$BB$21,IF(Q112=$BC$16,$BC$21,IF(Q112=$BD$16,$BD$21,IF(Q112=$BE$16,$BE$21,IF(Q112=$BF$16,$BF$21,IF(Q112=$BG$16,$BG$21))))),"")))))</f>
        <v>Moderado</v>
      </c>
      <c r="U112" s="139" t="s">
        <v>171</v>
      </c>
      <c r="V112" s="427" t="s">
        <v>298</v>
      </c>
      <c r="W112" s="313" t="s">
        <v>40</v>
      </c>
      <c r="X112" s="314">
        <f>IF(W112=[5]Listas!$B$46,[5]Listas!$C$46,IF(W112=[5]Listas!$B$47,[5]Listas!$C$47,IF(W112=[5]Listas!$B$48,[5]Listas!$C$48,"")))</f>
        <v>0.25</v>
      </c>
      <c r="Y112" s="315" t="str">
        <f>IF(OR(W112=[5]Listas!$F$53,W112=[5]Listas!$F$54),[5]Listas!$G$53,IF(W112=[5]Listas!$F$55,[5]Listas!$G$55,""))</f>
        <v>Probabilidad</v>
      </c>
      <c r="Z112" s="313" t="s">
        <v>43</v>
      </c>
      <c r="AA112" s="314">
        <f>+IF(Z112=[5]Listas!$E$46,[5]Listas!$F$46,IF(Z112=[5]Listas!$E$47,[5]Listas!$F$47,""))</f>
        <v>0.15</v>
      </c>
      <c r="AB112" s="181">
        <f>IFERROR(X112+AA112,"")</f>
        <v>0.4</v>
      </c>
      <c r="AC112" s="313" t="s">
        <v>57</v>
      </c>
      <c r="AD112" s="316" t="s">
        <v>58</v>
      </c>
      <c r="AE112" s="317" t="s">
        <v>59</v>
      </c>
      <c r="AF112" s="299" t="str">
        <f t="shared" si="11"/>
        <v>Baja</v>
      </c>
      <c r="AG112" s="141">
        <f>IF(Y112=[5]Listas!$G$53,O112-(O112*AB112),O112)</f>
        <v>0.36</v>
      </c>
      <c r="AH112" s="561">
        <f>+IF(AG121="","",AG121)</f>
        <v>0.36</v>
      </c>
      <c r="AI112" s="299" t="str">
        <f>IF(AJ112="","",IF(AJ112&lt;=20%,"Leve",IF(AJ112&lt;=40%,"Menor",IF(AJ112&lt;=60%,"Moderado",IF(AJ112&lt;=80%,"Mayor","Catastrófico")))))</f>
        <v>Leve</v>
      </c>
      <c r="AJ112" s="141">
        <f>IF(Y112=[5]Listas!$G$55,R112-(R112*AB112),R112)</f>
        <v>0.2</v>
      </c>
      <c r="AK112" s="561">
        <f>+IF(AJ121="","",AJ121)</f>
        <v>0.2</v>
      </c>
      <c r="AL112" s="564" t="str">
        <f>+IF(AH112=0,"",IF(AH112&lt;=$BA$21,$BB$21,IF(AH112&lt;=$BA$20,$BB$20,IF(AH112&lt;=$BA$19,$BB$19,IF(AH112&lt;=$BA$18,$BB$18,IF(AH112&lt;=$BA$17,$BB$17,""))))))</f>
        <v>Baja</v>
      </c>
      <c r="AM112" s="564" t="str">
        <f>+IF(AK112=0,"",IF(AK112&lt;=$BC$15,$BC$16,IF(AK112&lt;=$BD$15,$BD$16,IF(AK112&lt;=$BE$15,$BE$16,IF(AK112&lt;=$BF$15,$BF$16,IF(AK112&lt;=$BG$15,$BG$16,""))))))</f>
        <v>Leve</v>
      </c>
      <c r="AN112" s="564" t="str">
        <f>IF(AL112=$BB$17,IF(AM112=$BC$16,$BC$17,IF(AM112=$BD$16,$BD$17,IF(AM112=$BE$16,$BE$17,IF(AM112=$BF$16,$BF$17,IF(AM112=$BG$16,$BG$17))))),IF(AL112=$BB$18,IF(AM112=$BC$16,$BC$18,IF(AM112=$BD$16,$BD$18,IF(AM112=$BE$16,$BE$18,IF(AM112=$BF$16,$BF$18,IF(AM112=$BG$16,$BG$18))))),IF(AL112=$BB$19,IF(AM112=$BC$16,$BC$19,IF(AM112=$BD$16,$BD$19,IF(AM112=$BE$16,$BE$19,IF(AM112=$BF$16,$BF$19,IF(AM112=$BG$16,$BG$19))))),IF(AL112=$BB$20,IF(AM112=$BC$16,$BC$20,IF(AM112=$BD$16,$BD$20,IF(AM112=$BE$16,$BE$20,IF(AM112=$BF$16,$BF$20,IF(AM112=$BG$16,$BG$20))))),IF(AL112=$BB$21,IF(AM112=$BC$16,$BC$21,IF(AM112=$BD$16,$BD$21,IF(AM112=$BE$16,$BE$21,IF(AM112=$BF$16,$BF$21,IF(AM112=$BG$16,$BG$21))))),"")))))</f>
        <v>Bajo</v>
      </c>
      <c r="AO112" s="567" t="str">
        <f>IF(AP112="","",IF(AP112=[5]Listas!$F$61,[5]Listas!$G$61,IF(AP112=[5]Listas!$F$63,[5]Listas!$G$63,IF(AP112=[5]Listas!$F$64,[5]Listas!$G$64))))</f>
        <v>No requiere Plan de Acción</v>
      </c>
      <c r="AP112" s="570" t="str">
        <f>IF(AN112="","",IF(OR(AN112=[5]Listas!$E$61,AN112=[5]Listas!$E$62),[5]Listas!$F$61,IF(AN112=[5]Listas!$E$63,[5]Listas!$F$63,IF(AN112=[5]Listas!$E$64,[5]Listas!$F$64))))</f>
        <v>Aceptar  el riesgo</v>
      </c>
      <c r="AQ112" s="349" t="s">
        <v>90</v>
      </c>
      <c r="AR112" s="200" t="s">
        <v>293</v>
      </c>
    </row>
    <row r="113" spans="2:70" ht="59.15" customHeight="1" thickTop="1" thickBot="1" x14ac:dyDescent="0.4">
      <c r="B113" s="870"/>
      <c r="C113" s="559"/>
      <c r="D113" s="745" t="s">
        <v>299</v>
      </c>
      <c r="E113" s="577"/>
      <c r="F113" s="781"/>
      <c r="G113" s="784"/>
      <c r="H113" s="778"/>
      <c r="I113" s="589"/>
      <c r="J113" s="589"/>
      <c r="K113" s="592"/>
      <c r="L113" s="589"/>
      <c r="M113" s="595"/>
      <c r="N113" s="598"/>
      <c r="O113" s="601"/>
      <c r="P113" s="595"/>
      <c r="Q113" s="604"/>
      <c r="R113" s="601"/>
      <c r="S113" s="286"/>
      <c r="T113" s="604"/>
      <c r="U113" s="142" t="s">
        <v>174</v>
      </c>
      <c r="V113" s="415"/>
      <c r="W113" s="331"/>
      <c r="X113" s="320" t="str">
        <f>IF(W113=[5]Listas!$B$46,[5]Listas!$C$46,IF(W113=[5]Listas!$B$47,[5]Listas!$C$47,IF(W113=[5]Listas!$B$48,[5]Listas!$C$48,"")))</f>
        <v/>
      </c>
      <c r="Y113" s="321" t="str">
        <f>IF(OR(W113=[5]Listas!$F$53,W113=[5]Listas!$F$54),[5]Listas!$G$53,IF(W113=[5]Listas!$F$55,[5]Listas!$G$55,""))</f>
        <v/>
      </c>
      <c r="Z113" s="319"/>
      <c r="AA113" s="182" t="str">
        <f>+IF(Z113=[5]Listas!$E$46,[5]Listas!$F$46,IF(Z113=[5]Listas!$E$47,[5]Listas!$F$47,""))</f>
        <v/>
      </c>
      <c r="AB113" s="183" t="str">
        <f>IFERROR(X113+AA113,"")</f>
        <v/>
      </c>
      <c r="AC113" s="319"/>
      <c r="AD113" s="322"/>
      <c r="AE113" s="323"/>
      <c r="AF113" s="305" t="str">
        <f t="shared" si="11"/>
        <v>Baja</v>
      </c>
      <c r="AG113" s="145">
        <f>IF(Y113=[5]Listas!$G$53,AG112-(AG112*AB113),AG112)</f>
        <v>0.36</v>
      </c>
      <c r="AH113" s="562"/>
      <c r="AI113" s="305" t="str">
        <f t="shared" si="9"/>
        <v>Leve</v>
      </c>
      <c r="AJ113" s="145">
        <f>IF(Y113=[5]Listas!$G$55,AJ112-(AJ112*AB113),AJ112)</f>
        <v>0.2</v>
      </c>
      <c r="AK113" s="562"/>
      <c r="AL113" s="565"/>
      <c r="AM113" s="565"/>
      <c r="AN113" s="565"/>
      <c r="AO113" s="568"/>
      <c r="AP113" s="571"/>
      <c r="AQ113" s="343" t="s">
        <v>80</v>
      </c>
      <c r="AR113" s="201" t="s">
        <v>300</v>
      </c>
    </row>
    <row r="114" spans="2:70" ht="69.650000000000006" customHeight="1" thickTop="1" thickBot="1" x14ac:dyDescent="0.4">
      <c r="B114" s="870"/>
      <c r="C114" s="559"/>
      <c r="D114" s="745" t="s">
        <v>299</v>
      </c>
      <c r="E114" s="577"/>
      <c r="F114" s="781"/>
      <c r="G114" s="784"/>
      <c r="H114" s="778"/>
      <c r="I114" s="589"/>
      <c r="J114" s="589"/>
      <c r="K114" s="592"/>
      <c r="L114" s="589"/>
      <c r="M114" s="595"/>
      <c r="N114" s="598"/>
      <c r="O114" s="601"/>
      <c r="P114" s="595"/>
      <c r="Q114" s="604"/>
      <c r="R114" s="601"/>
      <c r="S114" s="287"/>
      <c r="T114" s="604"/>
      <c r="U114" s="142" t="s">
        <v>180</v>
      </c>
      <c r="V114" s="415"/>
      <c r="W114" s="331"/>
      <c r="X114" s="320" t="str">
        <f>IF(W114=[5]Listas!$B$46,[5]Listas!$C$46,IF(W114=[5]Listas!$B$47,[5]Listas!$C$47,IF(W114=[5]Listas!$B$48,[5]Listas!$C$48,"")))</f>
        <v/>
      </c>
      <c r="Y114" s="321" t="str">
        <f>IF(OR(W114=[5]Listas!$F$53,W114=[5]Listas!$F$54),[5]Listas!$G$53,IF(W114=[5]Listas!$F$55,[5]Listas!$G$55,""))</f>
        <v/>
      </c>
      <c r="Z114" s="319"/>
      <c r="AA114" s="182" t="str">
        <f>+IF(Z114=[5]Listas!$E$46,[5]Listas!$F$46,IF(Z114=[5]Listas!$E$47,[5]Listas!$F$47,""))</f>
        <v/>
      </c>
      <c r="AB114" s="183" t="str">
        <f>IFERROR(X114+AA114,"")</f>
        <v/>
      </c>
      <c r="AC114" s="325"/>
      <c r="AD114" s="326"/>
      <c r="AE114" s="327"/>
      <c r="AF114" s="305" t="str">
        <f t="shared" si="11"/>
        <v>Baja</v>
      </c>
      <c r="AG114" s="145">
        <f>IF(Y114=[5]Listas!$G$53,AG113-(AG113*AB114),AG113)</f>
        <v>0.36</v>
      </c>
      <c r="AH114" s="562"/>
      <c r="AI114" s="305" t="str">
        <f t="shared" si="9"/>
        <v>Leve</v>
      </c>
      <c r="AJ114" s="145">
        <f>IF(Y114=[5]Listas!$G$55,AJ113-(AJ113*AB114),AJ113)</f>
        <v>0.2</v>
      </c>
      <c r="AK114" s="562"/>
      <c r="AL114" s="565"/>
      <c r="AM114" s="565"/>
      <c r="AN114" s="565"/>
      <c r="AO114" s="568"/>
      <c r="AP114" s="571"/>
      <c r="AQ114" s="343" t="s">
        <v>80</v>
      </c>
      <c r="AR114" s="191" t="s">
        <v>301</v>
      </c>
    </row>
    <row r="115" spans="2:70" ht="54.65" hidden="1" customHeight="1" thickBot="1" x14ac:dyDescent="0.4">
      <c r="B115" s="870"/>
      <c r="C115" s="280"/>
      <c r="D115" s="745" t="s">
        <v>299</v>
      </c>
      <c r="E115" s="577"/>
      <c r="F115" s="781"/>
      <c r="G115" s="784"/>
      <c r="H115" s="778"/>
      <c r="I115" s="589"/>
      <c r="J115" s="589"/>
      <c r="K115" s="592"/>
      <c r="L115" s="589"/>
      <c r="M115" s="595"/>
      <c r="N115" s="598"/>
      <c r="O115" s="601"/>
      <c r="P115" s="595"/>
      <c r="Q115" s="604"/>
      <c r="R115" s="601"/>
      <c r="S115" s="287"/>
      <c r="T115" s="604"/>
      <c r="U115" s="142" t="s">
        <v>190</v>
      </c>
      <c r="V115" s="415"/>
      <c r="W115" s="331"/>
      <c r="X115" s="320" t="str">
        <f>IF(W115=[5]Listas!$B$46,[5]Listas!$C$46,IF(W115=[5]Listas!$B$47,[5]Listas!$C$47,IF(W115=[5]Listas!$B$48,[5]Listas!$C$48,"")))</f>
        <v/>
      </c>
      <c r="Y115" s="321" t="str">
        <f>IF(OR(W115=[5]Listas!$F$53,W115=[5]Listas!$F$54),[5]Listas!$G$53,IF(W115=[5]Listas!$F$55,[5]Listas!$G$55,""))</f>
        <v/>
      </c>
      <c r="Z115" s="319"/>
      <c r="AA115" s="182" t="str">
        <f>+IF(Z115=[5]Listas!$E$46,[5]Listas!$F$46,IF(Z115=[5]Listas!$E$47,[5]Listas!$F$47,""))</f>
        <v/>
      </c>
      <c r="AB115" s="183" t="str">
        <f t="shared" ref="AB115:AB121" si="15">IFERROR(X115+AA115,"")</f>
        <v/>
      </c>
      <c r="AC115" s="328"/>
      <c r="AD115" s="329"/>
      <c r="AE115" s="330"/>
      <c r="AF115" s="305" t="str">
        <f t="shared" si="11"/>
        <v>Baja</v>
      </c>
      <c r="AG115" s="145">
        <f>IF(Y115=[5]Listas!$G$53,AG114-(AG114*AB115),AG114)</f>
        <v>0.36</v>
      </c>
      <c r="AH115" s="562"/>
      <c r="AI115" s="305" t="str">
        <f t="shared" si="9"/>
        <v>Leve</v>
      </c>
      <c r="AJ115" s="145">
        <f>IF(Y115=[5]Listas!$G$55,AJ114-(AJ114*AB115),AJ114)</f>
        <v>0.2</v>
      </c>
      <c r="AK115" s="562"/>
      <c r="AL115" s="565"/>
      <c r="AM115" s="565"/>
      <c r="AN115" s="565"/>
      <c r="AO115" s="568"/>
      <c r="AP115" s="571"/>
      <c r="AQ115" s="343"/>
      <c r="AR115" s="191"/>
    </row>
    <row r="116" spans="2:70" ht="15" hidden="1" customHeight="1" thickTop="1" thickBot="1" x14ac:dyDescent="0.4">
      <c r="B116" s="870"/>
      <c r="C116" s="280"/>
      <c r="D116" s="745" t="s">
        <v>299</v>
      </c>
      <c r="E116" s="577"/>
      <c r="F116" s="781"/>
      <c r="G116" s="784"/>
      <c r="H116" s="778"/>
      <c r="I116" s="589"/>
      <c r="J116" s="589"/>
      <c r="K116" s="592"/>
      <c r="L116" s="589"/>
      <c r="M116" s="595"/>
      <c r="N116" s="598"/>
      <c r="O116" s="601"/>
      <c r="P116" s="595"/>
      <c r="Q116" s="604"/>
      <c r="R116" s="601"/>
      <c r="S116" s="287"/>
      <c r="T116" s="604"/>
      <c r="U116" s="142" t="s">
        <v>198</v>
      </c>
      <c r="V116" s="415"/>
      <c r="W116" s="331"/>
      <c r="X116" s="320" t="str">
        <f>IF(W116=[5]Listas!$B$46,[5]Listas!$C$46,IF(W116=[5]Listas!$B$47,[5]Listas!$C$47,IF(W116=[5]Listas!$B$48,[5]Listas!$C$48,"")))</f>
        <v/>
      </c>
      <c r="Y116" s="321" t="str">
        <f>IF(OR(W116=[5]Listas!$F$53,W116=[5]Listas!$F$54),[5]Listas!$G$53,IF(W116=[5]Listas!$F$55,[5]Listas!$G$55,""))</f>
        <v/>
      </c>
      <c r="Z116" s="319"/>
      <c r="AA116" s="182" t="str">
        <f>+IF(Z116=[5]Listas!$E$46,[5]Listas!$F$46,IF(Z116=[5]Listas!$E$47,[5]Listas!$F$47,""))</f>
        <v/>
      </c>
      <c r="AB116" s="183" t="str">
        <f t="shared" si="15"/>
        <v/>
      </c>
      <c r="AC116" s="319"/>
      <c r="AD116" s="322"/>
      <c r="AE116" s="323"/>
      <c r="AF116" s="305" t="str">
        <f t="shared" si="11"/>
        <v>Baja</v>
      </c>
      <c r="AG116" s="145">
        <f>IF(Y116=[5]Listas!$G$53,AG115-(AG115*AB116),AG115)</f>
        <v>0.36</v>
      </c>
      <c r="AH116" s="562"/>
      <c r="AI116" s="305" t="str">
        <f t="shared" si="9"/>
        <v>Leve</v>
      </c>
      <c r="AJ116" s="145">
        <f>IF(Y116=[5]Listas!$G$55,AJ115-(AJ115*AB116),AJ115)</f>
        <v>0.2</v>
      </c>
      <c r="AK116" s="562"/>
      <c r="AL116" s="565"/>
      <c r="AM116" s="565"/>
      <c r="AN116" s="565"/>
      <c r="AO116" s="568"/>
      <c r="AP116" s="571"/>
      <c r="AQ116" s="350"/>
      <c r="AR116" s="191"/>
    </row>
    <row r="117" spans="2:70" ht="15.75" hidden="1" customHeight="1" thickTop="1" thickBot="1" x14ac:dyDescent="0.4">
      <c r="B117" s="870"/>
      <c r="C117" s="280"/>
      <c r="D117" s="745" t="s">
        <v>299</v>
      </c>
      <c r="E117" s="577"/>
      <c r="F117" s="781"/>
      <c r="G117" s="784"/>
      <c r="H117" s="778"/>
      <c r="I117" s="589"/>
      <c r="J117" s="589"/>
      <c r="K117" s="592"/>
      <c r="L117" s="589"/>
      <c r="M117" s="595"/>
      <c r="N117" s="598"/>
      <c r="O117" s="601"/>
      <c r="P117" s="595"/>
      <c r="Q117" s="604"/>
      <c r="R117" s="601"/>
      <c r="S117" s="288"/>
      <c r="T117" s="604"/>
      <c r="U117" s="142" t="s">
        <v>208</v>
      </c>
      <c r="V117" s="418"/>
      <c r="W117" s="331"/>
      <c r="X117" s="320" t="str">
        <f>IF(W117=[5]Listas!$B$46,[5]Listas!$C$46,IF(W117=[5]Listas!$B$47,[5]Listas!$C$47,IF(W117=[5]Listas!$B$48,[5]Listas!$C$48,"")))</f>
        <v/>
      </c>
      <c r="Y117" s="321" t="str">
        <f>IF(OR(W117=[5]Listas!$F$53,W117=[5]Listas!$F$54),[5]Listas!$G$53,IF(W117=[5]Listas!$F$55,[5]Listas!$G$55,""))</f>
        <v/>
      </c>
      <c r="Z117" s="319"/>
      <c r="AA117" s="182" t="str">
        <f>+IF(Z117=[5]Listas!$E$46,[5]Listas!$F$46,IF(Z117=[5]Listas!$E$47,[5]Listas!$F$47,""))</f>
        <v/>
      </c>
      <c r="AB117" s="183" t="str">
        <f t="shared" si="15"/>
        <v/>
      </c>
      <c r="AC117" s="319"/>
      <c r="AD117" s="322"/>
      <c r="AE117" s="323"/>
      <c r="AF117" s="305" t="str">
        <f t="shared" si="11"/>
        <v>Baja</v>
      </c>
      <c r="AG117" s="145">
        <f>IF(Y117=[5]Listas!$G$53,AG116-(AG116*AB117),AG116)</f>
        <v>0.36</v>
      </c>
      <c r="AH117" s="562"/>
      <c r="AI117" s="305" t="str">
        <f t="shared" si="9"/>
        <v>Leve</v>
      </c>
      <c r="AJ117" s="145">
        <f>IF(Y117=[5]Listas!$G$55,AJ116-(AJ116*AB117),AJ116)</f>
        <v>0.2</v>
      </c>
      <c r="AK117" s="562"/>
      <c r="AL117" s="565"/>
      <c r="AM117" s="565"/>
      <c r="AN117" s="565"/>
      <c r="AO117" s="568"/>
      <c r="AP117" s="571"/>
      <c r="AQ117" s="343"/>
      <c r="AR117" s="191"/>
    </row>
    <row r="118" spans="2:70" ht="15" hidden="1" customHeight="1" thickTop="1" thickBot="1" x14ac:dyDescent="0.4">
      <c r="B118" s="870"/>
      <c r="C118" s="280"/>
      <c r="D118" s="745" t="s">
        <v>299</v>
      </c>
      <c r="E118" s="577"/>
      <c r="F118" s="781"/>
      <c r="G118" s="784"/>
      <c r="H118" s="778"/>
      <c r="I118" s="589"/>
      <c r="J118" s="589"/>
      <c r="K118" s="592"/>
      <c r="L118" s="589"/>
      <c r="M118" s="595"/>
      <c r="N118" s="598"/>
      <c r="O118" s="601"/>
      <c r="P118" s="595"/>
      <c r="Q118" s="604"/>
      <c r="R118" s="601"/>
      <c r="S118" s="289"/>
      <c r="T118" s="604"/>
      <c r="U118" s="142" t="s">
        <v>215</v>
      </c>
      <c r="V118" s="415"/>
      <c r="W118" s="319"/>
      <c r="X118" s="320" t="str">
        <f>IF(W118=[5]Listas!$B$46,[5]Listas!$C$46,IF(W118=[5]Listas!$B$47,[5]Listas!$C$47,IF(W118=[5]Listas!$B$48,[5]Listas!$C$48,"")))</f>
        <v/>
      </c>
      <c r="Y118" s="321" t="str">
        <f>IF(OR(W118=[5]Listas!$F$53,W118=[5]Listas!$F$54),[5]Listas!$G$53,IF(W118=[5]Listas!$F$55,[5]Listas!$G$55,""))</f>
        <v/>
      </c>
      <c r="Z118" s="319"/>
      <c r="AA118" s="182" t="str">
        <f>+IF(Z118=[5]Listas!$E$46,[5]Listas!$F$46,IF(Z118=[5]Listas!$E$47,[5]Listas!$F$47,""))</f>
        <v/>
      </c>
      <c r="AB118" s="183" t="str">
        <f t="shared" si="15"/>
        <v/>
      </c>
      <c r="AC118" s="319"/>
      <c r="AD118" s="322"/>
      <c r="AE118" s="323"/>
      <c r="AF118" s="305" t="str">
        <f t="shared" si="11"/>
        <v>Baja</v>
      </c>
      <c r="AG118" s="145">
        <f>IF(Y118=[5]Listas!$G$53,AG117-(AG117*AB118),AG117)</f>
        <v>0.36</v>
      </c>
      <c r="AH118" s="562"/>
      <c r="AI118" s="305" t="str">
        <f t="shared" si="9"/>
        <v>Leve</v>
      </c>
      <c r="AJ118" s="145">
        <f>IF(Y118=[5]Listas!$G$55,AJ117-(AJ117*AB118),AJ117)</f>
        <v>0.2</v>
      </c>
      <c r="AK118" s="562"/>
      <c r="AL118" s="565"/>
      <c r="AM118" s="565"/>
      <c r="AN118" s="565"/>
      <c r="AO118" s="568"/>
      <c r="AP118" s="571"/>
      <c r="AQ118" s="343"/>
      <c r="AR118" s="191"/>
    </row>
    <row r="119" spans="2:70" ht="15" hidden="1" customHeight="1" thickTop="1" thickBot="1" x14ac:dyDescent="0.4">
      <c r="B119" s="870"/>
      <c r="C119" s="280"/>
      <c r="D119" s="745" t="s">
        <v>299</v>
      </c>
      <c r="E119" s="577"/>
      <c r="F119" s="781"/>
      <c r="G119" s="784"/>
      <c r="H119" s="778"/>
      <c r="I119" s="589"/>
      <c r="J119" s="589"/>
      <c r="K119" s="592"/>
      <c r="L119" s="589"/>
      <c r="M119" s="595"/>
      <c r="N119" s="598"/>
      <c r="O119" s="601"/>
      <c r="P119" s="595"/>
      <c r="Q119" s="604"/>
      <c r="R119" s="601"/>
      <c r="S119" s="289"/>
      <c r="T119" s="604"/>
      <c r="U119" s="142" t="s">
        <v>220</v>
      </c>
      <c r="V119" s="418"/>
      <c r="W119" s="331"/>
      <c r="X119" s="320" t="str">
        <f>IF(W119=[5]Listas!$B$46,[5]Listas!$C$46,IF(W119=[5]Listas!$B$47,[5]Listas!$C$47,IF(W119=[5]Listas!$B$48,[5]Listas!$C$48,"")))</f>
        <v/>
      </c>
      <c r="Y119" s="321" t="str">
        <f>IF(OR(W119=[5]Listas!$F$53,W119=[5]Listas!$F$54),[5]Listas!$G$53,IF(W119=[5]Listas!$F$55,[5]Listas!$G$55,""))</f>
        <v/>
      </c>
      <c r="Z119" s="319"/>
      <c r="AA119" s="182" t="str">
        <f>+IF(Z119=[5]Listas!$E$46,[5]Listas!$F$46,IF(Z119=[5]Listas!$E$47,[5]Listas!$F$47,""))</f>
        <v/>
      </c>
      <c r="AB119" s="183" t="str">
        <f t="shared" si="15"/>
        <v/>
      </c>
      <c r="AC119" s="319"/>
      <c r="AD119" s="322"/>
      <c r="AE119" s="323"/>
      <c r="AF119" s="305" t="str">
        <f t="shared" si="11"/>
        <v>Baja</v>
      </c>
      <c r="AG119" s="145">
        <f>IF(Y119=[5]Listas!$G$53,AG118-(AG118*AB119),AG118)</f>
        <v>0.36</v>
      </c>
      <c r="AH119" s="562"/>
      <c r="AI119" s="305" t="str">
        <f t="shared" si="9"/>
        <v>Leve</v>
      </c>
      <c r="AJ119" s="145">
        <f>IF(Y119=[5]Listas!$G$55,AJ118-(AJ118*AB119),AJ118)</f>
        <v>0.2</v>
      </c>
      <c r="AK119" s="562"/>
      <c r="AL119" s="565"/>
      <c r="AM119" s="565"/>
      <c r="AN119" s="565"/>
      <c r="AO119" s="568"/>
      <c r="AP119" s="571"/>
      <c r="AQ119" s="350"/>
      <c r="AR119" s="191"/>
    </row>
    <row r="120" spans="2:70" ht="15" hidden="1" customHeight="1" thickTop="1" thickBot="1" x14ac:dyDescent="0.4">
      <c r="B120" s="870"/>
      <c r="C120" s="280"/>
      <c r="D120" s="745" t="s">
        <v>299</v>
      </c>
      <c r="E120" s="577"/>
      <c r="F120" s="781"/>
      <c r="G120" s="784"/>
      <c r="H120" s="778"/>
      <c r="I120" s="589"/>
      <c r="J120" s="589"/>
      <c r="K120" s="592"/>
      <c r="L120" s="589"/>
      <c r="M120" s="595"/>
      <c r="N120" s="598"/>
      <c r="O120" s="601"/>
      <c r="P120" s="595"/>
      <c r="Q120" s="604"/>
      <c r="R120" s="601"/>
      <c r="S120" s="289"/>
      <c r="T120" s="604"/>
      <c r="U120" s="142" t="s">
        <v>223</v>
      </c>
      <c r="V120" s="418"/>
      <c r="W120" s="331"/>
      <c r="X120" s="320" t="str">
        <f>IF(W120=[5]Listas!$B$46,[5]Listas!$C$46,IF(W120=[5]Listas!$B$47,[5]Listas!$C$47,IF(W120=[5]Listas!$B$48,[5]Listas!$C$48,"")))</f>
        <v/>
      </c>
      <c r="Y120" s="321" t="str">
        <f>IF(OR(W120=[5]Listas!$F$53,W120=[5]Listas!$F$54),[5]Listas!$G$53,IF(W120=[5]Listas!$F$55,[5]Listas!$G$55,""))</f>
        <v/>
      </c>
      <c r="Z120" s="319"/>
      <c r="AA120" s="182" t="str">
        <f>+IF(Z120=[5]Listas!$E$46,[5]Listas!$F$46,IF(Z120=[5]Listas!$E$47,[5]Listas!$F$47,""))</f>
        <v/>
      </c>
      <c r="AB120" s="183" t="str">
        <f t="shared" si="15"/>
        <v/>
      </c>
      <c r="AC120" s="319"/>
      <c r="AD120" s="322"/>
      <c r="AE120" s="323"/>
      <c r="AF120" s="305" t="str">
        <f t="shared" si="11"/>
        <v>Baja</v>
      </c>
      <c r="AG120" s="145">
        <f>IF(Y120=[5]Listas!$G$53,AG119-(AG119*AB120),AG119)</f>
        <v>0.36</v>
      </c>
      <c r="AH120" s="562"/>
      <c r="AI120" s="305" t="str">
        <f t="shared" si="9"/>
        <v>Leve</v>
      </c>
      <c r="AJ120" s="145">
        <f>IF(Y120=[5]Listas!$G$55,AJ119-(AJ119*AB120),AJ119)</f>
        <v>0.2</v>
      </c>
      <c r="AK120" s="562"/>
      <c r="AL120" s="565"/>
      <c r="AM120" s="565"/>
      <c r="AN120" s="565"/>
      <c r="AO120" s="568"/>
      <c r="AP120" s="571"/>
      <c r="AQ120" s="343"/>
      <c r="AR120" s="191"/>
    </row>
    <row r="121" spans="2:70" ht="15.75" hidden="1" customHeight="1" thickTop="1" thickBot="1" x14ac:dyDescent="0.4">
      <c r="B121" s="870"/>
      <c r="C121" s="280"/>
      <c r="D121" s="745" t="s">
        <v>299</v>
      </c>
      <c r="E121" s="577"/>
      <c r="F121" s="782"/>
      <c r="G121" s="785"/>
      <c r="H121" s="779"/>
      <c r="I121" s="590"/>
      <c r="J121" s="590"/>
      <c r="K121" s="593"/>
      <c r="L121" s="589"/>
      <c r="M121" s="595"/>
      <c r="N121" s="599"/>
      <c r="O121" s="602"/>
      <c r="P121" s="596"/>
      <c r="Q121" s="605"/>
      <c r="R121" s="602"/>
      <c r="S121" s="290"/>
      <c r="T121" s="605"/>
      <c r="U121" s="202" t="s">
        <v>224</v>
      </c>
      <c r="V121" s="416"/>
      <c r="W121" s="335"/>
      <c r="X121" s="336" t="str">
        <f>IF(W121=[5]Listas!$B$46,[5]Listas!$C$46,IF(W121=[5]Listas!$B$47,[5]Listas!$C$47,IF(W121=[5]Listas!$B$48,[5]Listas!$C$48,"")))</f>
        <v/>
      </c>
      <c r="Y121" s="337" t="str">
        <f>IF(OR(W121=[5]Listas!$F$53,W121=[5]Listas!$F$54),[5]Listas!$G$53,IF(W121=[5]Listas!$F$55,[5]Listas!$G$55,""))</f>
        <v/>
      </c>
      <c r="Z121" s="335"/>
      <c r="AA121" s="186" t="str">
        <f>+IF(Z121=[5]Listas!$E$46,[5]Listas!$F$46,IF(Z121=[5]Listas!$E$47,[5]Listas!$F$47,""))</f>
        <v/>
      </c>
      <c r="AB121" s="187" t="str">
        <f t="shared" si="15"/>
        <v/>
      </c>
      <c r="AC121" s="338"/>
      <c r="AD121" s="339"/>
      <c r="AE121" s="340"/>
      <c r="AF121" s="311" t="str">
        <f t="shared" si="11"/>
        <v>Baja</v>
      </c>
      <c r="AG121" s="179">
        <f>IF(Y121=[5]Listas!$G$53,AG120-(AG120*AB121),AG120)</f>
        <v>0.36</v>
      </c>
      <c r="AH121" s="563"/>
      <c r="AI121" s="311" t="str">
        <f t="shared" si="9"/>
        <v>Leve</v>
      </c>
      <c r="AJ121" s="179">
        <f>IF(Y121=[5]Listas!$G$55,AJ120-(AJ120*AB121),AJ120)</f>
        <v>0.2</v>
      </c>
      <c r="AK121" s="563"/>
      <c r="AL121" s="566"/>
      <c r="AM121" s="566"/>
      <c r="AN121" s="566"/>
      <c r="AO121" s="569"/>
      <c r="AP121" s="572"/>
      <c r="AQ121" s="351"/>
      <c r="AR121" s="192"/>
    </row>
    <row r="122" spans="2:70" ht="262" customHeight="1" thickTop="1" thickBot="1" x14ac:dyDescent="0.4">
      <c r="B122" s="870"/>
      <c r="C122" s="559" t="s">
        <v>95</v>
      </c>
      <c r="D122" s="760" t="s">
        <v>302</v>
      </c>
      <c r="E122" s="768" t="s">
        <v>4</v>
      </c>
      <c r="F122" s="771" t="s">
        <v>303</v>
      </c>
      <c r="G122" s="774" t="s">
        <v>304</v>
      </c>
      <c r="H122" s="774" t="s">
        <v>305</v>
      </c>
      <c r="I122" s="726" t="s">
        <v>20</v>
      </c>
      <c r="J122" s="726" t="s">
        <v>22</v>
      </c>
      <c r="K122" s="823" t="s">
        <v>306</v>
      </c>
      <c r="L122" s="726" t="s">
        <v>186</v>
      </c>
      <c r="M122" s="723" t="s">
        <v>197</v>
      </c>
      <c r="N122" s="597" t="str">
        <f>+IF(M122="","",IF(M122=$BO$15,$BN$15,IF(M122=$BO$16,$BN$16,IF(M122=$BO$17,$BN$17,IF(M122=$BO$18,$BN$18,IF(M122=$BO$19,$BN$19))))))</f>
        <v>Muy Baja</v>
      </c>
      <c r="O122" s="729">
        <f>+IF(M122="","",IF(M122=$BO$15,$BR$15,IF(M122=$BO$16,$BR$16,IF(M122=$BO$17,$BR$17,IF(M122=$BO$18,$BR$18,IF(M122=$BO$19,$BR$19))))))</f>
        <v>0.2</v>
      </c>
      <c r="P122" s="723" t="s">
        <v>212</v>
      </c>
      <c r="Q122" s="603" t="str">
        <f>+IF(P122="","",IF(P122='[6]Mapa de Calor inherente'!$AF$6,'[6]Mapa de Calor inherente'!$AD$6,IF(P122='[6]Mapa de Calor inherente'!$AF$7,'[6]Mapa de Calor inherente'!$AD$7,IF(P122='[6]Mapa de Calor inherente'!$AF$8,'[6]Mapa de Calor inherente'!$AD$8,IF(P122='[6]Mapa de Calor inherente'!$AF$9,'[6]Mapa de Calor inherente'!$AD$9,IF(P122='[6]Mapa de Calor inherente'!$AF$10,'[6]Mapa de Calor inherente'!$AD$10,IF(P122='[6]Mapa de Calor inherente'!$AG$6,'[6]Mapa de Calor inherente'!$AD$6,IF(P122='[6]Mapa de Calor inherente'!$AG$7,'[6]Mapa de Calor inherente'!$AD$7,IF(P122='[6]Mapa de Calor inherente'!$AG$8,'[6]Mapa de Calor inherente'!$AD$8,IF(P122='[6]Mapa de Calor inherente'!$AG$9,'[6]Mapa de Calor inherente'!$AD$9,IF(P122='[6]Mapa de Calor inherente'!$AG$10,'[6]Mapa de Calor inherente'!$AD$10,IF(P122='[6]Mapa de Calor inherente'!$AD$8,'[6]Mapa de Calor inherente'!$AD$8,IF(P122='[6]Mapa de Calor inherente'!$AD$9,'[6]Mapa de Calor inherente'!$AD$9,IF(P122='[6]Mapa de Calor inherente'!$AD$10,'[6]Mapa de Calor inherente'!$AD$10))))))))))))))</f>
        <v>Moderado</v>
      </c>
      <c r="R122" s="729">
        <f>+IF(P122="","",IF(P122='[6]Mapa de Calor inherente'!$AF$6,'[6]Mapa de Calor inherente'!$AE$6,IF(P122='[6]Mapa de Calor inherente'!$AF$7,'[6]Mapa de Calor inherente'!$AE$7,IF(P122='[6]Mapa de Calor inherente'!$AF$8,'[6]Mapa de Calor inherente'!$AE$8,IF(P122='[6]Mapa de Calor inherente'!$AF$9,'[6]Mapa de Calor inherente'!$AE$9,IF(P122='[6]Mapa de Calor inherente'!$AF$10,'[6]Mapa de Calor inherente'!$AE$10,IF(P122='[6]Mapa de Calor inherente'!$AG$6,'[6]Mapa de Calor inherente'!$AE$6,IF(P122='[6]Mapa de Calor inherente'!$AG$7,'[6]Mapa de Calor inherente'!$AE$7,IF(P122='[6]Mapa de Calor inherente'!$AG$8,'[6]Mapa de Calor inherente'!$AE$8,IF(P122='[6]Mapa de Calor inherente'!$AG$9,'[6]Mapa de Calor inherente'!$AE$9,IF(P122='[6]Mapa de Calor inherente'!$AG$10,'[6]Mapa de Calor inherente'!$AE$10,IF(P122='[6]Mapa de Calor inherente'!$AD$8,'[6]Mapa de Calor inherente'!$AE$8,IF(P122='[6]Mapa de Calor inherente'!$AD$9,'[6]Mapa de Calor inherente'!$AE$9,IF(P122='[6]Mapa de Calor inherente'!$AD$10,'[6]Mapa de Calor inherente'!$AE$10))))))))))))))</f>
        <v>0.6</v>
      </c>
      <c r="S122" s="282">
        <f>IF(O122="","",IF(R122="","",(O122*R122)))</f>
        <v>0.12</v>
      </c>
      <c r="T122" s="603" t="str">
        <f>+IF(N122=$BB$17,IF(Q122=$BC$16,$BC$17,IF(Q122=$BD$16,$BD$17,IF(Q122=$BE$16,$BE$17,IF(Q122=$BF$16,$BF$17,IF(Q122=$BG$16,$BG$17))))),IF(N122=$BB$18,IF(Q122=$BC$16,$BC$18,IF(Q122=$BD$16,$BD$18,IF(Q122=$BE$16,$BE$18,IF(Q122=$BF$16,$BF$18,IF(Q122=$BG$16,$BG$18))))),IF(N122=$BB$19,IF(Q122=$BC$16,$BC$19,IF(Q122=$BD$16,$BD$19,IF(Q122=$BE$16,$BE$19,IF(Q122=$BF$16,$BF$19,IF(Q122=$BG$16,$BG$19))))),IF(N122=$BB$20,IF(Q122=$BC$16,$BC$20,IF(Q122=$BD$16,$BD$20,IF(Q122=$BE$16,$BE$20,IF(Q122=$BF$16,$BF$20,IF(Q122=$BG$16,$BG$20))))),IF(N122=$BB$21,IF(Q122=$BC$16,$BC$21,IF(Q122=$BD$16,$BD$21,IF(Q122=$BE$16,$BE$21,IF(Q122=$BF$16,$BF$21,IF(Q122=$BG$16,$BG$21))))),"")))))</f>
        <v>Moderado</v>
      </c>
      <c r="U122" s="139" t="s">
        <v>171</v>
      </c>
      <c r="V122" s="428" t="s">
        <v>307</v>
      </c>
      <c r="W122" s="295" t="s">
        <v>40</v>
      </c>
      <c r="X122" s="296">
        <f>IF(W122=[6]Listas!$B$46,[6]Listas!$C$46,IF(W122=[6]Listas!$B$47,[6]Listas!$C$47,IF(W122=[6]Listas!$B$48,[6]Listas!$C$48,"")))</f>
        <v>0.25</v>
      </c>
      <c r="Y122" s="297" t="str">
        <f>IF(OR(W122=[6]Listas!$F$53,W122=[6]Listas!$F$54),[6]Listas!$G$53,IF(W122=[6]Listas!$F$55,[6]Listas!$G$55,""))</f>
        <v>Probabilidad</v>
      </c>
      <c r="Z122" s="295" t="s">
        <v>43</v>
      </c>
      <c r="AA122" s="296">
        <f>+IF(Z122=[6]Listas!$E$46,[6]Listas!$F$46,IF(Z122=[6]Listas!$E$47,[6]Listas!$F$47,""))</f>
        <v>0.15</v>
      </c>
      <c r="AB122" s="140">
        <f>IFERROR(X122+AA122,"")</f>
        <v>0.4</v>
      </c>
      <c r="AC122" s="291" t="s">
        <v>57</v>
      </c>
      <c r="AD122" s="295" t="s">
        <v>58</v>
      </c>
      <c r="AE122" s="298" t="s">
        <v>59</v>
      </c>
      <c r="AF122" s="299" t="str">
        <f t="shared" si="11"/>
        <v>Muy baja</v>
      </c>
      <c r="AG122" s="141">
        <f>IF(Y122=[6]Listas!$G$53,O122-(O122*AB122),O122)</f>
        <v>0.12</v>
      </c>
      <c r="AH122" s="561">
        <f>+IF(AG131="","",AG131)</f>
        <v>1.8143999999999997E-2</v>
      </c>
      <c r="AI122" s="299" t="str">
        <f>IF(AJ122="","",IF(AJ122&lt;=20%,"Leve",IF(AJ122&lt;=40%,"Menor",IF(AJ122&lt;=60%,"Moderado",IF(AJ122&lt;=80%,"Mayor","Catastrófico")))))</f>
        <v>Moderado</v>
      </c>
      <c r="AJ122" s="141">
        <f>IF(Y122=[6]Listas!$G$55,R122-(R122*AB122),R122)</f>
        <v>0.6</v>
      </c>
      <c r="AK122" s="561">
        <f>+IF(AJ131="","",AJ131)</f>
        <v>0.6</v>
      </c>
      <c r="AL122" s="564" t="str">
        <f>+IF(AH122=0,"",IF(AH122&lt;=$BA$21,$BB$21,IF(AH122&lt;=$BA$20,$BB$20,IF(AH122&lt;=$BA$19,$BB$19,IF(AH122&lt;=$BA$18,$BB$18,IF(AH122&lt;=$BA$17,$BB$17,""))))))</f>
        <v>Muy Baja</v>
      </c>
      <c r="AM122" s="564" t="str">
        <f>+IF(AK122=0,"",IF(AK122&lt;=$BC$15,$BC$16,IF(AK122&lt;=$BD$15,$BD$16,IF(AK122&lt;=$BE$15,$BE$16,IF(AK122&lt;=$BF$15,$BF$16,IF(AK122&lt;=$BG$15,$BG$16,""))))))</f>
        <v>Moderado</v>
      </c>
      <c r="AN122" s="564" t="str">
        <f>IF(AL122=$BB$17,IF(AM122=$BC$16,$BC$17,IF(AM122=$BD$16,$BD$17,IF(AM122=$BE$16,$BE$17,IF(AM122=$BF$16,$BF$17,IF(AM122=$BG$16,$BG$17))))),IF(AL122=$BB$18,IF(AM122=$BC$16,$BC$18,IF(AM122=$BD$16,$BD$18,IF(AM122=$BE$16,$BE$18,IF(AM122=$BF$16,$BF$18,IF(AM122=$BG$16,$BG$18))))),IF(AL122=$BB$19,IF(AM122=$BC$16,$BC$19,IF(AM122=$BD$16,$BD$19,IF(AM122=$BE$16,$BE$19,IF(AM122=$BF$16,$BF$19,IF(AM122=$BG$16,$BG$19))))),IF(AL122=$BB$20,IF(AM122=$BC$16,$BC$20,IF(AM122=$BD$16,$BD$20,IF(AM122=$BE$16,$BE$20,IF(AM122=$BF$16,$BF$20,IF(AM122=$BG$16,$BG$20))))),IF(AL122=$BB$21,IF(AM122=$BC$16,$BC$21,IF(AM122=$BD$16,$BD$21,IF(AM122=$BE$16,$BE$21,IF(AM122=$BF$16,$BF$21,IF(AM122=$BG$16,$BG$21))))),"")))))</f>
        <v>Moderado</v>
      </c>
      <c r="AO122" s="567" t="str">
        <f>IF(AP122="","",IF(AP122=[6]Listas!$F$61,[6]Listas!$G$61,IF(AP122=[6]Listas!$F$63,[6]Listas!$G$63,IF(AP122=[6]Listas!$F$64,[6]Listas!$G$64))))</f>
        <v>Requiere Plan de Acción</v>
      </c>
      <c r="AP122" s="630" t="str">
        <f>IF(AN122="","",IF(OR(AN122=[6]Listas!$E$61,AN122=[6]Listas!$E$62),[6]Listas!$F$61,IF(AN122=[6]Listas!$E$63,[6]Listas!$F$63,IF(AN122=[6]Listas!$E$64,[6]Listas!$F$64))))</f>
        <v>Aceptar o reducir el riesgo</v>
      </c>
      <c r="AQ122" s="300" t="s">
        <v>80</v>
      </c>
      <c r="AR122" s="203" t="s">
        <v>308</v>
      </c>
    </row>
    <row r="123" spans="2:70" ht="232" customHeight="1" thickTop="1" thickBot="1" x14ac:dyDescent="0.35">
      <c r="B123" s="870"/>
      <c r="C123" s="559"/>
      <c r="D123" s="761"/>
      <c r="E123" s="769"/>
      <c r="F123" s="772"/>
      <c r="G123" s="775"/>
      <c r="H123" s="775"/>
      <c r="I123" s="727"/>
      <c r="J123" s="727"/>
      <c r="K123" s="824"/>
      <c r="L123" s="727"/>
      <c r="M123" s="724"/>
      <c r="N123" s="598"/>
      <c r="O123" s="730"/>
      <c r="P123" s="724"/>
      <c r="Q123" s="604"/>
      <c r="R123" s="730"/>
      <c r="S123" s="283"/>
      <c r="T123" s="604"/>
      <c r="U123" s="142" t="s">
        <v>174</v>
      </c>
      <c r="V123" s="429" t="s">
        <v>309</v>
      </c>
      <c r="W123" s="301" t="s">
        <v>40</v>
      </c>
      <c r="X123" s="302">
        <f>IF(W123=[6]Listas!$B$46,[6]Listas!$C$46,IF(W123=[6]Listas!$B$47,[6]Listas!$C$47,IF(W123=[6]Listas!$B$48,[6]Listas!$C$48,"")))</f>
        <v>0.25</v>
      </c>
      <c r="Y123" s="303" t="str">
        <f>IF(OR(W123=[6]Listas!$F$53,W123=[6]Listas!$F$54),[6]Listas!$G$53,IF(W123=[6]Listas!$F$55,[6]Listas!$G$55,""))</f>
        <v>Probabilidad</v>
      </c>
      <c r="Z123" s="301" t="s">
        <v>43</v>
      </c>
      <c r="AA123" s="143">
        <f>+IF(Z123=[6]Listas!$E$46,[6]Listas!$F$46,IF(Z123=[6]Listas!$E$47,[6]Listas!$F$47,""))</f>
        <v>0.15</v>
      </c>
      <c r="AB123" s="144">
        <f>IFERROR(X123+AA123,"")</f>
        <v>0.4</v>
      </c>
      <c r="AC123" s="301" t="s">
        <v>64</v>
      </c>
      <c r="AD123" s="301" t="s">
        <v>58</v>
      </c>
      <c r="AE123" s="304" t="s">
        <v>59</v>
      </c>
      <c r="AF123" s="305" t="str">
        <f t="shared" si="11"/>
        <v>Muy baja</v>
      </c>
      <c r="AG123" s="145">
        <f>IF(Y123=[6]Listas!$G$53,AG122-(AG122*AB123),AG122)</f>
        <v>7.1999999999999995E-2</v>
      </c>
      <c r="AH123" s="562"/>
      <c r="AI123" s="305" t="str">
        <f t="shared" ref="AI123:AI151" si="16">IF(AJ123="","",IF(AJ123&lt;=20%,"Leve",IF(AJ123&lt;=40%,"Menor",IF(AJ123&lt;=60%,"Moderado",IF(AJ123&lt;=80%,"Mayor","Catastrófico")))))</f>
        <v>Moderado</v>
      </c>
      <c r="AJ123" s="145">
        <f>IF(Y123=[6]Listas!$G$55,AJ122-(AJ122*AB123),AJ122)</f>
        <v>0.6</v>
      </c>
      <c r="AK123" s="562"/>
      <c r="AL123" s="565"/>
      <c r="AM123" s="565"/>
      <c r="AN123" s="565"/>
      <c r="AO123" s="568"/>
      <c r="AP123" s="631"/>
      <c r="AQ123" s="306" t="s">
        <v>90</v>
      </c>
      <c r="AR123" s="204" t="s">
        <v>310</v>
      </c>
      <c r="AZ123" s="633" t="s">
        <v>177</v>
      </c>
      <c r="BA123" s="634"/>
      <c r="BB123" s="634"/>
      <c r="BC123" s="634"/>
      <c r="BD123" s="634"/>
      <c r="BE123" s="634"/>
      <c r="BF123" s="634"/>
      <c r="BG123" s="635"/>
      <c r="BI123" s="636" t="s">
        <v>178</v>
      </c>
      <c r="BJ123" s="637"/>
      <c r="BK123" s="637"/>
      <c r="BL123" s="638"/>
      <c r="BN123" s="639" t="s">
        <v>179</v>
      </c>
      <c r="BO123" s="640"/>
      <c r="BP123" s="641"/>
      <c r="BQ123" s="641"/>
      <c r="BR123" s="642"/>
    </row>
    <row r="124" spans="2:70" ht="155.5" customHeight="1" thickTop="1" thickBot="1" x14ac:dyDescent="0.35">
      <c r="B124" s="870"/>
      <c r="C124" s="559"/>
      <c r="D124" s="761"/>
      <c r="E124" s="769"/>
      <c r="F124" s="772"/>
      <c r="G124" s="775"/>
      <c r="H124" s="775"/>
      <c r="I124" s="727"/>
      <c r="J124" s="727"/>
      <c r="K124" s="824"/>
      <c r="L124" s="727"/>
      <c r="M124" s="724"/>
      <c r="N124" s="598"/>
      <c r="O124" s="730"/>
      <c r="P124" s="724"/>
      <c r="Q124" s="604"/>
      <c r="R124" s="730"/>
      <c r="S124" s="283"/>
      <c r="T124" s="604"/>
      <c r="U124" s="142" t="s">
        <v>180</v>
      </c>
      <c r="V124" s="419" t="s">
        <v>311</v>
      </c>
      <c r="W124" s="301" t="s">
        <v>40</v>
      </c>
      <c r="X124" s="302">
        <f>IF(W124=[6]Listas!$B$46,[6]Listas!$C$46,IF(W124=[6]Listas!$B$47,[6]Listas!$C$47,IF(W124=[6]Listas!$B$48,[6]Listas!$C$48,"")))</f>
        <v>0.25</v>
      </c>
      <c r="Y124" s="303" t="str">
        <f>IF(OR(W124=[6]Listas!$F$53,W124=[6]Listas!$F$54),[6]Listas!$G$53,IF(W124=[6]Listas!$F$55,[6]Listas!$G$55,""))</f>
        <v>Probabilidad</v>
      </c>
      <c r="Z124" s="301" t="s">
        <v>43</v>
      </c>
      <c r="AA124" s="143">
        <f>+IF(Z124=[6]Listas!$E$46,[6]Listas!$F$46,IF(Z124=[6]Listas!$E$47,[6]Listas!$F$47,""))</f>
        <v>0.15</v>
      </c>
      <c r="AB124" s="144">
        <f>IFERROR(X124+AA124,"")</f>
        <v>0.4</v>
      </c>
      <c r="AC124" s="301" t="s">
        <v>64</v>
      </c>
      <c r="AD124" s="301" t="s">
        <v>58</v>
      </c>
      <c r="AE124" s="304" t="s">
        <v>59</v>
      </c>
      <c r="AF124" s="305" t="str">
        <f t="shared" si="11"/>
        <v>Muy baja</v>
      </c>
      <c r="AG124" s="145">
        <f>IF(Y124=[6]Listas!$G$53,AG123-(AG123*AB124),AG123)</f>
        <v>4.3199999999999995E-2</v>
      </c>
      <c r="AH124" s="562"/>
      <c r="AI124" s="305" t="str">
        <f t="shared" si="16"/>
        <v>Moderado</v>
      </c>
      <c r="AJ124" s="145">
        <f>IF(Y124=[6]Listas!$G$55,AJ123-(AJ123*AB124),AJ123)</f>
        <v>0.6</v>
      </c>
      <c r="AK124" s="562"/>
      <c r="AL124" s="565"/>
      <c r="AM124" s="565"/>
      <c r="AN124" s="565"/>
      <c r="AO124" s="568"/>
      <c r="AP124" s="631"/>
      <c r="AQ124" s="306"/>
      <c r="AR124" s="117"/>
      <c r="AZ124" s="146"/>
      <c r="BA124" s="147"/>
      <c r="BB124" s="148"/>
      <c r="BC124" s="643" t="s">
        <v>70</v>
      </c>
      <c r="BD124" s="643"/>
      <c r="BE124" s="643"/>
      <c r="BF124" s="643"/>
      <c r="BG124" s="643"/>
      <c r="BI124" s="149" t="s">
        <v>183</v>
      </c>
      <c r="BJ124" s="150" t="s">
        <v>184</v>
      </c>
      <c r="BK124" s="150" t="s">
        <v>185</v>
      </c>
      <c r="BL124" s="151" t="s">
        <v>186</v>
      </c>
      <c r="BN124" s="149" t="s">
        <v>183</v>
      </c>
      <c r="BO124" s="150" t="s">
        <v>187</v>
      </c>
      <c r="BP124" s="152" t="s">
        <v>188</v>
      </c>
      <c r="BQ124" s="152" t="s">
        <v>189</v>
      </c>
      <c r="BR124" s="151" t="s">
        <v>60</v>
      </c>
    </row>
    <row r="125" spans="2:70" ht="65.25" customHeight="1" thickTop="1" thickBot="1" x14ac:dyDescent="0.4">
      <c r="B125" s="870"/>
      <c r="C125" s="559"/>
      <c r="D125" s="761"/>
      <c r="E125" s="769"/>
      <c r="F125" s="772"/>
      <c r="G125" s="775"/>
      <c r="H125" s="775"/>
      <c r="I125" s="727"/>
      <c r="J125" s="727"/>
      <c r="K125" s="824"/>
      <c r="L125" s="727"/>
      <c r="M125" s="724"/>
      <c r="N125" s="598"/>
      <c r="O125" s="730"/>
      <c r="P125" s="724"/>
      <c r="Q125" s="604"/>
      <c r="R125" s="730"/>
      <c r="S125" s="283"/>
      <c r="T125" s="604"/>
      <c r="U125" s="142" t="s">
        <v>190</v>
      </c>
      <c r="V125" s="419" t="s">
        <v>312</v>
      </c>
      <c r="W125" s="301" t="s">
        <v>40</v>
      </c>
      <c r="X125" s="302">
        <f>IF(W125=[6]Listas!$B$46,[6]Listas!$C$46,IF(W125=[6]Listas!$B$47,[6]Listas!$C$47,IF(W125=[6]Listas!$B$48,[6]Listas!$C$48,"")))</f>
        <v>0.25</v>
      </c>
      <c r="Y125" s="303" t="str">
        <f>IF(OR(W125=[6]Listas!$F$53,W125=[6]Listas!$F$54),[6]Listas!$G$53,IF(W125=[6]Listas!$F$55,[6]Listas!$G$55,""))</f>
        <v>Probabilidad</v>
      </c>
      <c r="Z125" s="301" t="s">
        <v>43</v>
      </c>
      <c r="AA125" s="143">
        <f>+IF(Z125=[6]Listas!$E$46,[6]Listas!$F$46,IF(Z125=[6]Listas!$E$47,[6]Listas!$F$47,""))</f>
        <v>0.15</v>
      </c>
      <c r="AB125" s="144">
        <f t="shared" ref="AB125:AB131" si="17">IFERROR(X125+AA125,"")</f>
        <v>0.4</v>
      </c>
      <c r="AC125" s="301" t="s">
        <v>64</v>
      </c>
      <c r="AD125" s="301" t="s">
        <v>58</v>
      </c>
      <c r="AE125" s="304" t="s">
        <v>59</v>
      </c>
      <c r="AF125" s="305" t="str">
        <f t="shared" si="11"/>
        <v>Muy baja</v>
      </c>
      <c r="AG125" s="145">
        <f>IF(Y125=[6]Listas!$G$53,AG124-(AG124*AB125),AG124)</f>
        <v>2.5919999999999995E-2</v>
      </c>
      <c r="AH125" s="562"/>
      <c r="AI125" s="305" t="str">
        <f t="shared" si="16"/>
        <v>Moderado</v>
      </c>
      <c r="AJ125" s="145">
        <f>IF(Y125=[6]Listas!$G$55,AJ124-(AJ124*AB125),AJ124)</f>
        <v>0.6</v>
      </c>
      <c r="AK125" s="562"/>
      <c r="AL125" s="565"/>
      <c r="AM125" s="565"/>
      <c r="AN125" s="565"/>
      <c r="AO125" s="568"/>
      <c r="AP125" s="631"/>
      <c r="AQ125" s="306"/>
      <c r="AR125" s="117"/>
      <c r="AZ125" s="153"/>
      <c r="BA125" s="154"/>
      <c r="BB125" s="155" t="s">
        <v>192</v>
      </c>
      <c r="BC125" s="156">
        <v>0.2</v>
      </c>
      <c r="BD125" s="156">
        <v>0.4</v>
      </c>
      <c r="BE125" s="156">
        <v>0.6</v>
      </c>
      <c r="BF125" s="156">
        <v>0.8</v>
      </c>
      <c r="BG125" s="156">
        <v>1</v>
      </c>
      <c r="BI125" s="157" t="s">
        <v>193</v>
      </c>
      <c r="BJ125" s="158">
        <v>0.2</v>
      </c>
      <c r="BK125" s="159" t="s">
        <v>194</v>
      </c>
      <c r="BL125" s="160" t="s">
        <v>195</v>
      </c>
      <c r="BN125" s="157" t="s">
        <v>196</v>
      </c>
      <c r="BO125" s="159" t="s">
        <v>197</v>
      </c>
      <c r="BP125" s="161">
        <v>0</v>
      </c>
      <c r="BQ125" s="161">
        <v>2</v>
      </c>
      <c r="BR125" s="162">
        <v>0.2</v>
      </c>
    </row>
    <row r="126" spans="2:70" ht="129.75" customHeight="1" thickTop="1" thickBot="1" x14ac:dyDescent="0.4">
      <c r="B126" s="870"/>
      <c r="C126" s="559"/>
      <c r="D126" s="761"/>
      <c r="E126" s="769"/>
      <c r="F126" s="772"/>
      <c r="G126" s="775"/>
      <c r="H126" s="775"/>
      <c r="I126" s="727"/>
      <c r="J126" s="727"/>
      <c r="K126" s="824"/>
      <c r="L126" s="727"/>
      <c r="M126" s="724"/>
      <c r="N126" s="598"/>
      <c r="O126" s="730"/>
      <c r="P126" s="724"/>
      <c r="Q126" s="604"/>
      <c r="R126" s="730"/>
      <c r="S126" s="283"/>
      <c r="T126" s="604"/>
      <c r="U126" s="142" t="s">
        <v>198</v>
      </c>
      <c r="V126" s="429" t="s">
        <v>313</v>
      </c>
      <c r="W126" s="301" t="s">
        <v>42</v>
      </c>
      <c r="X126" s="302">
        <f>IF(W126=[6]Listas!$B$46,[6]Listas!$C$46,IF(W126=[6]Listas!$B$47,[6]Listas!$C$47,IF(W126=[6]Listas!$B$48,[6]Listas!$C$48,"")))</f>
        <v>0.15</v>
      </c>
      <c r="Y126" s="303" t="str">
        <f>IF(OR(W126=[6]Listas!$F$53,W126=[6]Listas!$F$54),[6]Listas!$G$53,IF(W126=[6]Listas!$F$55,[6]Listas!$G$55,""))</f>
        <v>Probabilidad</v>
      </c>
      <c r="Z126" s="301" t="s">
        <v>43</v>
      </c>
      <c r="AA126" s="143">
        <f>+IF(Z126=[6]Listas!$E$46,[6]Listas!$F$46,IF(Z126=[6]Listas!$E$47,[6]Listas!$F$47,""))</f>
        <v>0.15</v>
      </c>
      <c r="AB126" s="144">
        <f t="shared" si="17"/>
        <v>0.3</v>
      </c>
      <c r="AC126" s="301" t="s">
        <v>57</v>
      </c>
      <c r="AD126" s="301" t="s">
        <v>58</v>
      </c>
      <c r="AE126" s="304" t="s">
        <v>59</v>
      </c>
      <c r="AF126" s="305" t="str">
        <f t="shared" si="11"/>
        <v>Muy baja</v>
      </c>
      <c r="AG126" s="145">
        <f>IF(Y126=[6]Listas!$G$53,AG125-(AG125*AB126),AG125)</f>
        <v>1.8143999999999997E-2</v>
      </c>
      <c r="AH126" s="562"/>
      <c r="AI126" s="305" t="str">
        <f t="shared" si="16"/>
        <v>Moderado</v>
      </c>
      <c r="AJ126" s="145">
        <f>IF(Y126=[6]Listas!$G$55,AJ125-(AJ125*AB126),AJ125)</f>
        <v>0.6</v>
      </c>
      <c r="AK126" s="562"/>
      <c r="AL126" s="565"/>
      <c r="AM126" s="565"/>
      <c r="AN126" s="565"/>
      <c r="AO126" s="568"/>
      <c r="AP126" s="631"/>
      <c r="AQ126" s="306"/>
      <c r="AR126" s="117"/>
      <c r="AZ126" s="153"/>
      <c r="BA126" s="154"/>
      <c r="BB126" s="163" t="s">
        <v>200</v>
      </c>
      <c r="BC126" s="164" t="s">
        <v>193</v>
      </c>
      <c r="BD126" s="164" t="s">
        <v>201</v>
      </c>
      <c r="BE126" s="164" t="s">
        <v>83</v>
      </c>
      <c r="BF126" s="164" t="s">
        <v>202</v>
      </c>
      <c r="BG126" s="164" t="s">
        <v>203</v>
      </c>
      <c r="BI126" s="165" t="s">
        <v>201</v>
      </c>
      <c r="BJ126" s="158">
        <v>0.4</v>
      </c>
      <c r="BK126" s="166" t="s">
        <v>204</v>
      </c>
      <c r="BL126" s="167" t="s">
        <v>205</v>
      </c>
      <c r="BN126" s="165" t="s">
        <v>206</v>
      </c>
      <c r="BO126" s="166" t="s">
        <v>207</v>
      </c>
      <c r="BP126" s="161">
        <v>3</v>
      </c>
      <c r="BQ126" s="161">
        <v>24</v>
      </c>
      <c r="BR126" s="162">
        <v>0.4</v>
      </c>
    </row>
    <row r="127" spans="2:70" ht="30.75" hidden="1" customHeight="1" thickBot="1" x14ac:dyDescent="0.4">
      <c r="B127" s="870"/>
      <c r="C127" s="559"/>
      <c r="D127" s="761"/>
      <c r="E127" s="769"/>
      <c r="F127" s="772"/>
      <c r="G127" s="775"/>
      <c r="H127" s="775"/>
      <c r="I127" s="727"/>
      <c r="J127" s="727"/>
      <c r="K127" s="824"/>
      <c r="L127" s="727"/>
      <c r="M127" s="724"/>
      <c r="N127" s="598"/>
      <c r="O127" s="730"/>
      <c r="P127" s="724"/>
      <c r="Q127" s="604"/>
      <c r="R127" s="730"/>
      <c r="S127" s="283"/>
      <c r="T127" s="604"/>
      <c r="U127" s="142" t="s">
        <v>208</v>
      </c>
      <c r="V127" s="429"/>
      <c r="W127" s="301"/>
      <c r="X127" s="302" t="str">
        <f>IF(W127=[6]Listas!$B$46,[6]Listas!$C$46,IF(W127=[6]Listas!$B$47,[6]Listas!$C$47,IF(W127=[6]Listas!$B$48,[6]Listas!$C$48,"")))</f>
        <v/>
      </c>
      <c r="Y127" s="303" t="str">
        <f>IF(OR(W127=[6]Listas!$F$53,W127=[6]Listas!$F$54),[6]Listas!$G$53,IF(W127=[6]Listas!$F$55,[6]Listas!$G$55,""))</f>
        <v/>
      </c>
      <c r="Z127" s="301"/>
      <c r="AA127" s="143" t="str">
        <f>+IF(Z127=[6]Listas!$E$46,[6]Listas!$F$46,IF(Z127=[6]Listas!$E$47,[6]Listas!$F$47,""))</f>
        <v/>
      </c>
      <c r="AB127" s="144" t="str">
        <f t="shared" si="17"/>
        <v/>
      </c>
      <c r="AC127" s="301"/>
      <c r="AD127" s="301"/>
      <c r="AE127" s="304"/>
      <c r="AF127" s="305" t="str">
        <f t="shared" si="11"/>
        <v>Muy baja</v>
      </c>
      <c r="AG127" s="145">
        <f>IF(Y127=[6]Listas!$G$53,AG126-(AG126*AB127),AG126)</f>
        <v>1.8143999999999997E-2</v>
      </c>
      <c r="AH127" s="562"/>
      <c r="AI127" s="305" t="str">
        <f t="shared" si="16"/>
        <v>Moderado</v>
      </c>
      <c r="AJ127" s="145">
        <f>IF(Y127=[6]Listas!$G$55,AJ126-(AJ126*AB127),AJ126)</f>
        <v>0.6</v>
      </c>
      <c r="AK127" s="562"/>
      <c r="AL127" s="565"/>
      <c r="AM127" s="565"/>
      <c r="AN127" s="565"/>
      <c r="AO127" s="568"/>
      <c r="AP127" s="631"/>
      <c r="AQ127" s="306"/>
      <c r="AR127" s="117"/>
      <c r="AZ127" s="644" t="s">
        <v>60</v>
      </c>
      <c r="BA127" s="168">
        <v>1</v>
      </c>
      <c r="BB127" s="164" t="s">
        <v>210</v>
      </c>
      <c r="BC127" s="169" t="s">
        <v>81</v>
      </c>
      <c r="BD127" s="169" t="s">
        <v>81</v>
      </c>
      <c r="BE127" s="169" t="s">
        <v>81</v>
      </c>
      <c r="BF127" s="169" t="s">
        <v>81</v>
      </c>
      <c r="BG127" s="170" t="s">
        <v>77</v>
      </c>
      <c r="BI127" s="171" t="s">
        <v>83</v>
      </c>
      <c r="BJ127" s="158">
        <v>0.6</v>
      </c>
      <c r="BK127" s="166" t="s">
        <v>211</v>
      </c>
      <c r="BL127" s="167" t="s">
        <v>212</v>
      </c>
      <c r="BN127" s="171" t="s">
        <v>213</v>
      </c>
      <c r="BO127" s="166" t="s">
        <v>214</v>
      </c>
      <c r="BP127" s="161">
        <v>25</v>
      </c>
      <c r="BQ127" s="161">
        <v>500</v>
      </c>
      <c r="BR127" s="162">
        <v>0.6</v>
      </c>
    </row>
    <row r="128" spans="2:70" ht="30.75" hidden="1" customHeight="1" thickBot="1" x14ac:dyDescent="0.4">
      <c r="B128" s="870"/>
      <c r="C128" s="559"/>
      <c r="D128" s="761"/>
      <c r="E128" s="769"/>
      <c r="F128" s="772"/>
      <c r="G128" s="775"/>
      <c r="H128" s="775"/>
      <c r="I128" s="727"/>
      <c r="J128" s="727"/>
      <c r="K128" s="824"/>
      <c r="L128" s="727"/>
      <c r="M128" s="724"/>
      <c r="N128" s="598"/>
      <c r="O128" s="730"/>
      <c r="P128" s="724"/>
      <c r="Q128" s="604"/>
      <c r="R128" s="730"/>
      <c r="S128" s="283"/>
      <c r="T128" s="604"/>
      <c r="U128" s="142" t="s">
        <v>215</v>
      </c>
      <c r="V128" s="419"/>
      <c r="W128" s="301"/>
      <c r="X128" s="302" t="str">
        <f>IF(W128=[6]Listas!$B$46,[6]Listas!$C$46,IF(W128=[6]Listas!$B$47,[6]Listas!$C$47,IF(W128=[6]Listas!$B$48,[6]Listas!$C$48,"")))</f>
        <v/>
      </c>
      <c r="Y128" s="303" t="str">
        <f>IF(OR(W128=[6]Listas!$F$53,W128=[6]Listas!$F$54),[6]Listas!$G$53,IF(W128=[6]Listas!$F$55,[6]Listas!$G$55,""))</f>
        <v/>
      </c>
      <c r="Z128" s="301"/>
      <c r="AA128" s="143" t="str">
        <f>+IF(Z128=[6]Listas!$E$46,[6]Listas!$F$46,IF(Z128=[6]Listas!$E$47,[6]Listas!$F$47,""))</f>
        <v/>
      </c>
      <c r="AB128" s="144" t="str">
        <f t="shared" si="17"/>
        <v/>
      </c>
      <c r="AC128" s="301"/>
      <c r="AD128" s="301"/>
      <c r="AE128" s="304"/>
      <c r="AF128" s="305" t="str">
        <f t="shared" si="11"/>
        <v>Muy baja</v>
      </c>
      <c r="AG128" s="145">
        <f>IF(Y128=[6]Listas!$G$53,AG127-(AG127*AB128),AG127)</f>
        <v>1.8143999999999997E-2</v>
      </c>
      <c r="AH128" s="562"/>
      <c r="AI128" s="305" t="str">
        <f t="shared" si="16"/>
        <v>Moderado</v>
      </c>
      <c r="AJ128" s="145">
        <f>IF(Y128=[6]Listas!$G$55,AJ127-(AJ127*AB128),AJ127)</f>
        <v>0.6</v>
      </c>
      <c r="AK128" s="562"/>
      <c r="AL128" s="565"/>
      <c r="AM128" s="565"/>
      <c r="AN128" s="565"/>
      <c r="AO128" s="568"/>
      <c r="AP128" s="631"/>
      <c r="AQ128" s="306"/>
      <c r="AR128" s="117"/>
      <c r="AZ128" s="644"/>
      <c r="BA128" s="168">
        <v>0.8</v>
      </c>
      <c r="BB128" s="164" t="s">
        <v>217</v>
      </c>
      <c r="BC128" s="172" t="s">
        <v>83</v>
      </c>
      <c r="BD128" s="172" t="s">
        <v>83</v>
      </c>
      <c r="BE128" s="169" t="s">
        <v>81</v>
      </c>
      <c r="BF128" s="169" t="s">
        <v>81</v>
      </c>
      <c r="BG128" s="170" t="s">
        <v>77</v>
      </c>
      <c r="BI128" s="173" t="s">
        <v>202</v>
      </c>
      <c r="BJ128" s="158">
        <v>0.8</v>
      </c>
      <c r="BK128" s="166" t="s">
        <v>218</v>
      </c>
      <c r="BL128" s="167" t="s">
        <v>219</v>
      </c>
      <c r="BN128" s="173" t="s">
        <v>217</v>
      </c>
      <c r="BO128" s="166" t="s">
        <v>169</v>
      </c>
      <c r="BP128" s="161">
        <v>5001</v>
      </c>
      <c r="BQ128" s="161">
        <v>5000</v>
      </c>
      <c r="BR128" s="162">
        <v>0.8</v>
      </c>
    </row>
    <row r="129" spans="2:70" ht="15" hidden="1" customHeight="1" thickTop="1" x14ac:dyDescent="0.35">
      <c r="B129" s="870"/>
      <c r="C129" s="559"/>
      <c r="D129" s="761"/>
      <c r="E129" s="769"/>
      <c r="F129" s="772"/>
      <c r="G129" s="775"/>
      <c r="H129" s="775"/>
      <c r="I129" s="727"/>
      <c r="J129" s="727"/>
      <c r="K129" s="824"/>
      <c r="L129" s="727"/>
      <c r="M129" s="724"/>
      <c r="N129" s="598"/>
      <c r="O129" s="730"/>
      <c r="P129" s="724"/>
      <c r="Q129" s="604"/>
      <c r="R129" s="730"/>
      <c r="S129" s="283"/>
      <c r="T129" s="604"/>
      <c r="U129" s="142" t="s">
        <v>220</v>
      </c>
      <c r="V129" s="419"/>
      <c r="W129" s="301"/>
      <c r="X129" s="302" t="str">
        <f>IF(W129=[6]Listas!$B$46,[6]Listas!$C$46,IF(W129=[6]Listas!$B$47,[6]Listas!$C$47,IF(W129=[6]Listas!$B$48,[6]Listas!$C$48,"")))</f>
        <v/>
      </c>
      <c r="Y129" s="303" t="str">
        <f>IF(OR(W129=[6]Listas!$F$53,W129=[6]Listas!$F$54),[6]Listas!$G$53,IF(W129=[6]Listas!$F$55,[6]Listas!$G$55,""))</f>
        <v/>
      </c>
      <c r="Z129" s="301"/>
      <c r="AA129" s="143" t="str">
        <f>+IF(Z129=[6]Listas!$E$46,[6]Listas!$F$46,IF(Z129=[6]Listas!$E$47,[6]Listas!$F$47,""))</f>
        <v/>
      </c>
      <c r="AB129" s="144" t="str">
        <f t="shared" si="17"/>
        <v/>
      </c>
      <c r="AC129" s="301"/>
      <c r="AD129" s="301"/>
      <c r="AE129" s="304"/>
      <c r="AF129" s="305" t="str">
        <f t="shared" si="11"/>
        <v>Muy baja</v>
      </c>
      <c r="AG129" s="145">
        <f>IF(Y129=[6]Listas!$G$53,AG128-(AG128*AB129),AG128)</f>
        <v>1.8143999999999997E-2</v>
      </c>
      <c r="AH129" s="562"/>
      <c r="AI129" s="305" t="str">
        <f t="shared" si="16"/>
        <v>Moderado</v>
      </c>
      <c r="AJ129" s="145">
        <f>IF(Y129=[6]Listas!$G$55,AJ128-(AJ128*AB129),AJ128)</f>
        <v>0.6</v>
      </c>
      <c r="AK129" s="562"/>
      <c r="AL129" s="565"/>
      <c r="AM129" s="565"/>
      <c r="AN129" s="565"/>
      <c r="AO129" s="568"/>
      <c r="AP129" s="631"/>
      <c r="AQ129" s="306"/>
      <c r="AR129" s="117"/>
      <c r="AZ129" s="644"/>
      <c r="BA129" s="168">
        <v>0.6</v>
      </c>
      <c r="BB129" s="164" t="s">
        <v>213</v>
      </c>
      <c r="BC129" s="172" t="s">
        <v>83</v>
      </c>
      <c r="BD129" s="172" t="s">
        <v>83</v>
      </c>
      <c r="BE129" s="172" t="s">
        <v>83</v>
      </c>
      <c r="BF129" s="169" t="s">
        <v>81</v>
      </c>
      <c r="BG129" s="170" t="s">
        <v>77</v>
      </c>
      <c r="BI129" s="175" t="s">
        <v>203</v>
      </c>
      <c r="BJ129" s="158">
        <v>1</v>
      </c>
      <c r="BK129" s="166" t="s">
        <v>221</v>
      </c>
      <c r="BL129" s="167" t="s">
        <v>170</v>
      </c>
      <c r="BN129" s="175" t="s">
        <v>210</v>
      </c>
      <c r="BO129" s="166" t="s">
        <v>222</v>
      </c>
      <c r="BP129" s="161">
        <v>5001</v>
      </c>
      <c r="BQ129" s="161"/>
      <c r="BR129" s="162">
        <v>1</v>
      </c>
    </row>
    <row r="130" spans="2:70" ht="15" hidden="1" customHeight="1" thickTop="1" x14ac:dyDescent="0.35">
      <c r="B130" s="870"/>
      <c r="C130" s="559"/>
      <c r="D130" s="761"/>
      <c r="E130" s="769"/>
      <c r="F130" s="772"/>
      <c r="G130" s="775"/>
      <c r="H130" s="775"/>
      <c r="I130" s="727"/>
      <c r="J130" s="727"/>
      <c r="K130" s="824"/>
      <c r="L130" s="727"/>
      <c r="M130" s="724"/>
      <c r="N130" s="598"/>
      <c r="O130" s="730"/>
      <c r="P130" s="724"/>
      <c r="Q130" s="604"/>
      <c r="R130" s="730"/>
      <c r="S130" s="283"/>
      <c r="T130" s="604"/>
      <c r="U130" s="142" t="s">
        <v>223</v>
      </c>
      <c r="V130" s="419"/>
      <c r="W130" s="301"/>
      <c r="X130" s="302" t="str">
        <f>IF(W130=[6]Listas!$B$46,[6]Listas!$C$46,IF(W130=[6]Listas!$B$47,[6]Listas!$C$47,IF(W130=[6]Listas!$B$48,[6]Listas!$C$48,"")))</f>
        <v/>
      </c>
      <c r="Y130" s="303" t="str">
        <f>IF(OR(W130=[6]Listas!$F$53,W130=[6]Listas!$F$54),[6]Listas!$G$53,IF(W130=[6]Listas!$F$55,[6]Listas!$G$55,""))</f>
        <v/>
      </c>
      <c r="Z130" s="301"/>
      <c r="AA130" s="143" t="str">
        <f>+IF(Z130=[6]Listas!$E$46,[6]Listas!$F$46,IF(Z130=[6]Listas!$E$47,[6]Listas!$F$47,""))</f>
        <v/>
      </c>
      <c r="AB130" s="144" t="str">
        <f t="shared" si="17"/>
        <v/>
      </c>
      <c r="AC130" s="301"/>
      <c r="AD130" s="301"/>
      <c r="AE130" s="304"/>
      <c r="AF130" s="305" t="str">
        <f t="shared" si="11"/>
        <v>Muy baja</v>
      </c>
      <c r="AG130" s="145">
        <f>IF(Y130=[6]Listas!$G$53,AG129-(AG129*AB130),AG129)</f>
        <v>1.8143999999999997E-2</v>
      </c>
      <c r="AH130" s="562"/>
      <c r="AI130" s="305" t="str">
        <f t="shared" si="16"/>
        <v>Moderado</v>
      </c>
      <c r="AJ130" s="145">
        <f>IF(Y130=[6]Listas!$G$55,AJ129-(AJ129*AB130),AJ129)</f>
        <v>0.6</v>
      </c>
      <c r="AK130" s="562"/>
      <c r="AL130" s="565"/>
      <c r="AM130" s="565"/>
      <c r="AN130" s="565"/>
      <c r="AO130" s="568"/>
      <c r="AP130" s="631"/>
      <c r="AQ130" s="306"/>
      <c r="AR130" s="117"/>
      <c r="AZ130" s="644"/>
      <c r="BA130" s="168">
        <v>0.4</v>
      </c>
      <c r="BB130" s="164" t="s">
        <v>206</v>
      </c>
      <c r="BC130" s="176" t="s">
        <v>86</v>
      </c>
      <c r="BD130" s="172" t="s">
        <v>83</v>
      </c>
      <c r="BE130" s="172" t="s">
        <v>83</v>
      </c>
      <c r="BF130" s="169" t="s">
        <v>81</v>
      </c>
      <c r="BG130" s="170" t="s">
        <v>77</v>
      </c>
    </row>
    <row r="131" spans="2:70" ht="15.75" hidden="1" customHeight="1" thickTop="1" x14ac:dyDescent="0.35">
      <c r="B131" s="870"/>
      <c r="C131" s="559"/>
      <c r="D131" s="762"/>
      <c r="E131" s="770"/>
      <c r="F131" s="773"/>
      <c r="G131" s="776"/>
      <c r="H131" s="776"/>
      <c r="I131" s="728"/>
      <c r="J131" s="728"/>
      <c r="K131" s="825"/>
      <c r="L131" s="728"/>
      <c r="M131" s="725"/>
      <c r="N131" s="599"/>
      <c r="O131" s="731"/>
      <c r="P131" s="725"/>
      <c r="Q131" s="605"/>
      <c r="R131" s="731"/>
      <c r="S131" s="284"/>
      <c r="T131" s="605"/>
      <c r="U131" s="202" t="s">
        <v>224</v>
      </c>
      <c r="V131" s="420"/>
      <c r="W131" s="307"/>
      <c r="X131" s="308" t="str">
        <f>IF(W131=[6]Listas!$B$46,[6]Listas!$C$46,IF(W131=[6]Listas!$B$47,[6]Listas!$C$47,IF(W131=[6]Listas!$B$48,[6]Listas!$C$48,"")))</f>
        <v/>
      </c>
      <c r="Y131" s="309" t="str">
        <f>IF(OR(W131=[6]Listas!$F$53,W131=[6]Listas!$F$54),[6]Listas!$G$53,IF(W131=[6]Listas!$F$55,[6]Listas!$G$55,""))</f>
        <v/>
      </c>
      <c r="Z131" s="307"/>
      <c r="AA131" s="177" t="str">
        <f>+IF(Z131=[6]Listas!$E$46,[6]Listas!$F$46,IF(Z131=[6]Listas!$E$47,[6]Listas!$F$47,""))</f>
        <v/>
      </c>
      <c r="AB131" s="178" t="str">
        <f t="shared" si="17"/>
        <v/>
      </c>
      <c r="AC131" s="307"/>
      <c r="AD131" s="307"/>
      <c r="AE131" s="310"/>
      <c r="AF131" s="352" t="str">
        <f t="shared" si="11"/>
        <v>Muy baja</v>
      </c>
      <c r="AG131" s="205">
        <f>IF(Y131=[6]Listas!$G$53,AG130-(AG130*AB131),AG130)</f>
        <v>1.8143999999999997E-2</v>
      </c>
      <c r="AH131" s="657"/>
      <c r="AI131" s="352" t="str">
        <f t="shared" si="16"/>
        <v>Moderado</v>
      </c>
      <c r="AJ131" s="205">
        <f>IF(Y131=[6]Listas!$G$55,AJ130-(AJ130*AB131),AJ130)</f>
        <v>0.6</v>
      </c>
      <c r="AK131" s="657"/>
      <c r="AL131" s="658"/>
      <c r="AM131" s="658"/>
      <c r="AN131" s="658"/>
      <c r="AO131" s="569"/>
      <c r="AP131" s="632"/>
      <c r="AQ131" s="312"/>
      <c r="AR131" s="180"/>
      <c r="AZ131" s="644"/>
      <c r="BA131" s="168">
        <v>0.2</v>
      </c>
      <c r="BB131" s="164" t="s">
        <v>196</v>
      </c>
      <c r="BC131" s="176" t="s">
        <v>86</v>
      </c>
      <c r="BD131" s="176" t="s">
        <v>86</v>
      </c>
      <c r="BE131" s="172" t="s">
        <v>83</v>
      </c>
      <c r="BF131" s="169" t="s">
        <v>81</v>
      </c>
      <c r="BG131" s="170" t="s">
        <v>77</v>
      </c>
    </row>
    <row r="132" spans="2:70" ht="138" customHeight="1" thickTop="1" thickBot="1" x14ac:dyDescent="0.4">
      <c r="B132" s="870"/>
      <c r="C132" s="559"/>
      <c r="D132" s="760" t="s">
        <v>314</v>
      </c>
      <c r="E132" s="768" t="s">
        <v>4</v>
      </c>
      <c r="F132" s="771" t="s">
        <v>315</v>
      </c>
      <c r="G132" s="820" t="s">
        <v>316</v>
      </c>
      <c r="H132" s="820" t="s">
        <v>317</v>
      </c>
      <c r="I132" s="726" t="s">
        <v>20</v>
      </c>
      <c r="J132" s="726" t="s">
        <v>22</v>
      </c>
      <c r="K132" s="823" t="s">
        <v>318</v>
      </c>
      <c r="L132" s="726" t="s">
        <v>186</v>
      </c>
      <c r="M132" s="723" t="s">
        <v>197</v>
      </c>
      <c r="N132" s="597" t="str">
        <f>+IF(M132="","",IF(M132=$BO$15,$BN$15,IF(M132=$BO$16,$BN$16,IF(M132=$BO$17,$BN$17,IF(M132=$BO$18,$BN$18,IF(M132=$BO$19,$BN$19))))))</f>
        <v>Muy Baja</v>
      </c>
      <c r="O132" s="729">
        <f>+IF(M132="","",IF(M132=$BO$15,$BR$15,IF(M132=$BO$16,$BR$16,IF(M132=$BO$17,$BR$17,IF(M132=$BO$18,$BR$18,IF(M132=$BO$19,$BR$19))))))</f>
        <v>0.2</v>
      </c>
      <c r="P132" s="723" t="s">
        <v>212</v>
      </c>
      <c r="Q132" s="603" t="str">
        <f>+IF(P132="","",IF(P132='[6]Mapa de Calor inherente'!$AF$6,'[6]Mapa de Calor inherente'!$AD$6,IF(P132='[6]Mapa de Calor inherente'!$AF$7,'[6]Mapa de Calor inherente'!$AD$7,IF(P132='[6]Mapa de Calor inherente'!$AF$8,'[6]Mapa de Calor inherente'!$AD$8,IF(P132='[6]Mapa de Calor inherente'!$AF$9,'[6]Mapa de Calor inherente'!$AD$9,IF(P132='[6]Mapa de Calor inherente'!$AF$10,'[6]Mapa de Calor inherente'!$AD$10,IF(P132='[6]Mapa de Calor inherente'!$AG$6,'[6]Mapa de Calor inherente'!$AD$6,IF(P132='[6]Mapa de Calor inherente'!$AG$7,'[6]Mapa de Calor inherente'!$AD$7,IF(P132='[6]Mapa de Calor inherente'!$AG$8,'[6]Mapa de Calor inherente'!$AD$8,IF(P132='[6]Mapa de Calor inherente'!$AG$9,'[6]Mapa de Calor inherente'!$AD$9,IF(P132='[6]Mapa de Calor inherente'!$AG$10,'[6]Mapa de Calor inherente'!$AD$10,IF(P132='[6]Mapa de Calor inherente'!$AD$8,'[6]Mapa de Calor inherente'!$AD$8,IF(P132='[6]Mapa de Calor inherente'!$AD$9,'[6]Mapa de Calor inherente'!$AD$9,IF(P132='[6]Mapa de Calor inherente'!$AD$10,'[6]Mapa de Calor inherente'!$AD$10))))))))))))))</f>
        <v>Moderado</v>
      </c>
      <c r="R132" s="729">
        <f>+IF(P132="","",IF(P132='[6]Mapa de Calor inherente'!$AF$6,'[6]Mapa de Calor inherente'!$AE$6,IF(P132='[6]Mapa de Calor inherente'!$AF$7,'[6]Mapa de Calor inherente'!$AE$7,IF(P132='[6]Mapa de Calor inherente'!$AF$8,'[6]Mapa de Calor inherente'!$AE$8,IF(P132='[6]Mapa de Calor inherente'!$AF$9,'[6]Mapa de Calor inherente'!$AE$9,IF(P132='[6]Mapa de Calor inherente'!$AF$10,'[6]Mapa de Calor inherente'!$AE$10,IF(P132='[6]Mapa de Calor inherente'!$AG$6,'[6]Mapa de Calor inherente'!$AE$6,IF(P132='[6]Mapa de Calor inherente'!$AG$7,'[6]Mapa de Calor inherente'!$AE$7,IF(P132='[6]Mapa de Calor inherente'!$AG$8,'[6]Mapa de Calor inherente'!$AE$8,IF(P132='[6]Mapa de Calor inherente'!$AG$9,'[6]Mapa de Calor inherente'!$AE$9,IF(P132='[6]Mapa de Calor inherente'!$AG$10,'[6]Mapa de Calor inherente'!$AE$10,IF(P132='[6]Mapa de Calor inherente'!$AD$8,'[6]Mapa de Calor inherente'!$AE$8,IF(P132='[6]Mapa de Calor inherente'!$AD$9,'[6]Mapa de Calor inherente'!$AE$9,IF(P132='[6]Mapa de Calor inherente'!$AD$10,'[6]Mapa de Calor inherente'!$AE$10))))))))))))))</f>
        <v>0.6</v>
      </c>
      <c r="S132" s="282"/>
      <c r="T132" s="603" t="str">
        <f>+IF(N132=$BB$17,IF(Q132=$BC$16,$BC$17,IF(Q132=$BD$16,$BD$17,IF(Q132=$BE$16,$BE$17,IF(Q132=$BF$16,$BF$17,IF(Q132=$BG$16,$BG$17))))),IF(N132=$BB$18,IF(Q132=$BC$16,$BC$18,IF(Q132=$BD$16,$BD$18,IF(Q132=$BE$16,$BE$18,IF(Q132=$BF$16,$BF$18,IF(Q132=$BG$16,$BG$18))))),IF(N132=$BB$19,IF(Q132=$BC$16,$BC$19,IF(Q132=$BD$16,$BD$19,IF(Q132=$BE$16,$BE$19,IF(Q132=$BF$16,$BF$19,IF(Q132=$BG$16,$BG$19))))),IF(N132=$BB$20,IF(Q132=$BC$16,$BC$20,IF(Q132=$BD$16,$BD$20,IF(Q132=$BE$16,$BE$20,IF(Q132=$BF$16,$BF$20,IF(Q132=$BG$16,$BG$20))))),IF(N132=$BB$21,IF(Q132=$BC$16,$BC$21,IF(Q132=$BD$16,$BD$21,IF(Q132=$BE$16,$BE$21,IF(Q132=$BF$16,$BF$21,IF(Q132=$BG$16,$BG$21))))),"")))))</f>
        <v>Moderado</v>
      </c>
      <c r="U132" s="139" t="s">
        <v>171</v>
      </c>
      <c r="V132" s="428" t="s">
        <v>319</v>
      </c>
      <c r="W132" s="295" t="s">
        <v>40</v>
      </c>
      <c r="X132" s="296">
        <f>IF(W132=[6]Listas!$B$46,[6]Listas!$C$46,IF(W132=[6]Listas!$B$47,[6]Listas!$C$47,IF(W132=[6]Listas!$B$48,[6]Listas!$C$48,"")))</f>
        <v>0.25</v>
      </c>
      <c r="Y132" s="297" t="str">
        <f>IF(OR(W132=[6]Listas!$F$53,W132=[6]Listas!$F$54),[6]Listas!$G$53,IF(W132=[6]Listas!$F$55,[6]Listas!$G$55,""))</f>
        <v>Probabilidad</v>
      </c>
      <c r="Z132" s="295" t="s">
        <v>43</v>
      </c>
      <c r="AA132" s="296">
        <f>+IF(Z132=[6]Listas!$E$46,[6]Listas!$F$46,IF(Z132=[6]Listas!$E$47,[6]Listas!$F$47,""))</f>
        <v>0.15</v>
      </c>
      <c r="AB132" s="140">
        <f>IFERROR(X132+AA132,"")</f>
        <v>0.4</v>
      </c>
      <c r="AC132" s="295" t="s">
        <v>57</v>
      </c>
      <c r="AD132" s="295" t="s">
        <v>58</v>
      </c>
      <c r="AE132" s="298" t="s">
        <v>59</v>
      </c>
      <c r="AF132" s="299" t="str">
        <f t="shared" si="11"/>
        <v>Muy baja</v>
      </c>
      <c r="AG132" s="141">
        <f>IF(Y132=[6]Listas!$G$53,O132-(O132*AB132),O132)</f>
        <v>0.12</v>
      </c>
      <c r="AH132" s="561">
        <f>+IF(AG141="","",AG141)</f>
        <v>0.12</v>
      </c>
      <c r="AI132" s="299" t="str">
        <f>IF(AJ132="","",IF(AJ132&lt;=20%,"Leve",IF(AJ132&lt;=40%,"Menor",IF(AJ132&lt;=60%,"Moderado",IF(AJ132&lt;=80%,"Mayor","Catastrófico")))))</f>
        <v>Moderado</v>
      </c>
      <c r="AJ132" s="141">
        <f>IF(Y132=[6]Listas!$G$55,R132-(R132*AB132),R132)</f>
        <v>0.6</v>
      </c>
      <c r="AK132" s="561">
        <f>+IF(AJ141="","",AJ141)</f>
        <v>0.6</v>
      </c>
      <c r="AL132" s="564" t="str">
        <f>+IF(AH132=0,"",IF(AH132&lt;=$BA$21,$BB$21,IF(AH132&lt;=$BA$20,$BB$20,IF(AH132&lt;=$BA$19,$BB$19,IF(AH132&lt;=$BA$18,$BB$18,IF(AH132&lt;=$BA$17,$BB$17,""))))))</f>
        <v>Muy Baja</v>
      </c>
      <c r="AM132" s="564" t="str">
        <f>+IF(AK132=0,"",IF(AK132&lt;=$BC$15,$BC$16,IF(AK132&lt;=$BD$15,$BD$16,IF(AK132&lt;=$BE$15,$BE$16,IF(AK132&lt;=$BF$15,$BF$16,IF(AK132&lt;=$BG$15,$BG$16,""))))))</f>
        <v>Moderado</v>
      </c>
      <c r="AN132" s="564" t="str">
        <f>IF(AL132=$BB$17,IF(AM132=$BC$16,$BC$17,IF(AM132=$BD$16,$BD$17,IF(AM132=$BE$16,$BE$17,IF(AM132=$BF$16,$BF$17,IF(AM132=$BG$16,$BG$17))))),IF(AL132=$BB$18,IF(AM132=$BC$16,$BC$18,IF(AM132=$BD$16,$BD$18,IF(AM132=$BE$16,$BE$18,IF(AM132=$BF$16,$BF$18,IF(AM132=$BG$16,$BG$18))))),IF(AL132=$BB$19,IF(AM132=$BC$16,$BC$19,IF(AM132=$BD$16,$BD$19,IF(AM132=$BE$16,$BE$19,IF(AM132=$BF$16,$BF$19,IF(AM132=$BG$16,$BG$19))))),IF(AL132=$BB$20,IF(AM132=$BC$16,$BC$20,IF(AM132=$BD$16,$BD$20,IF(AM132=$BE$16,$BE$20,IF(AM132=$BF$16,$BF$20,IF(AM132=$BG$16,$BG$20))))),IF(AL132=$BB$21,IF(AM132=$BC$16,$BC$21,IF(AM132=$BD$16,$BD$21,IF(AM132=$BE$16,$BE$21,IF(AM132=$BF$16,$BF$21,IF(AM132=$BG$16,$BG$21))))),"")))))</f>
        <v>Moderado</v>
      </c>
      <c r="AO132" s="567" t="str">
        <f>IF(AP132="","",IF(AP132=[6]Listas!$F$61,[6]Listas!$G$61,IF(AP132=[6]Listas!$F$63,[6]Listas!$G$63,IF(AP132=[6]Listas!$F$64,[6]Listas!$G$64))))</f>
        <v>Requiere Plan de Acción</v>
      </c>
      <c r="AP132" s="630" t="str">
        <f>IF(AN132="","",IF(OR(AN132=[6]Listas!$E$61,AN132=[6]Listas!$E$62),[6]Listas!$F$61,IF(AN132=[6]Listas!$E$63,[6]Listas!$F$63,IF(AN132=[6]Listas!$E$64,[6]Listas!$F$64))))</f>
        <v>Aceptar o reducir el riesgo</v>
      </c>
      <c r="AQ132" s="300" t="s">
        <v>80</v>
      </c>
      <c r="AR132" s="203" t="s">
        <v>320</v>
      </c>
    </row>
    <row r="133" spans="2:70" ht="138" customHeight="1" thickTop="1" thickBot="1" x14ac:dyDescent="0.4">
      <c r="B133" s="870"/>
      <c r="C133" s="559"/>
      <c r="D133" s="761"/>
      <c r="E133" s="769"/>
      <c r="F133" s="772"/>
      <c r="G133" s="821"/>
      <c r="H133" s="821"/>
      <c r="I133" s="727"/>
      <c r="J133" s="727"/>
      <c r="K133" s="824"/>
      <c r="L133" s="727"/>
      <c r="M133" s="724"/>
      <c r="N133" s="598"/>
      <c r="O133" s="730"/>
      <c r="P133" s="724"/>
      <c r="Q133" s="604"/>
      <c r="R133" s="730"/>
      <c r="S133" s="283"/>
      <c r="T133" s="604"/>
      <c r="U133" s="142" t="s">
        <v>174</v>
      </c>
      <c r="V133" s="429"/>
      <c r="W133" s="301"/>
      <c r="X133" s="302" t="str">
        <f>IF(W133=[6]Listas!$B$46,[6]Listas!$C$46,IF(W133=[6]Listas!$B$47,[6]Listas!$C$47,IF(W133=[6]Listas!$B$48,[6]Listas!$C$48,"")))</f>
        <v/>
      </c>
      <c r="Y133" s="303" t="str">
        <f>IF(OR(W133=[6]Listas!$F$53,W133=[6]Listas!$F$54),[6]Listas!$G$53,IF(W133=[6]Listas!$F$55,[6]Listas!$G$55,""))</f>
        <v/>
      </c>
      <c r="Z133" s="301"/>
      <c r="AA133" s="143" t="str">
        <f>+IF(Z133=[6]Listas!$E$46,[6]Listas!$F$46,IF(Z133=[6]Listas!$E$47,[6]Listas!$F$47,""))</f>
        <v/>
      </c>
      <c r="AB133" s="144" t="str">
        <f>IFERROR(X133+AA133,"")</f>
        <v/>
      </c>
      <c r="AC133" s="301"/>
      <c r="AD133" s="301"/>
      <c r="AE133" s="304"/>
      <c r="AF133" s="305" t="str">
        <f t="shared" si="11"/>
        <v>Muy baja</v>
      </c>
      <c r="AG133" s="145">
        <f>IF(Y133=[6]Listas!$G$53,AG132-(AG132*AB133),AG132)</f>
        <v>0.12</v>
      </c>
      <c r="AH133" s="562"/>
      <c r="AI133" s="305" t="str">
        <f t="shared" si="16"/>
        <v>Moderado</v>
      </c>
      <c r="AJ133" s="145">
        <f>IF(Y133=[6]Listas!$G$55,AJ132-(AJ132*AB133),AJ132)</f>
        <v>0.6</v>
      </c>
      <c r="AK133" s="562"/>
      <c r="AL133" s="565"/>
      <c r="AM133" s="565"/>
      <c r="AN133" s="565"/>
      <c r="AO133" s="568"/>
      <c r="AP133" s="631"/>
      <c r="AQ133" s="306" t="s">
        <v>80</v>
      </c>
      <c r="AR133" s="117" t="s">
        <v>321</v>
      </c>
    </row>
    <row r="134" spans="2:70" ht="73" customHeight="1" thickTop="1" thickBot="1" x14ac:dyDescent="0.4">
      <c r="B134" s="870"/>
      <c r="C134" s="559"/>
      <c r="D134" s="761"/>
      <c r="E134" s="769"/>
      <c r="F134" s="772"/>
      <c r="G134" s="821"/>
      <c r="H134" s="821"/>
      <c r="I134" s="727"/>
      <c r="J134" s="727"/>
      <c r="K134" s="824"/>
      <c r="L134" s="727"/>
      <c r="M134" s="724"/>
      <c r="N134" s="598"/>
      <c r="O134" s="730"/>
      <c r="P134" s="724"/>
      <c r="Q134" s="604"/>
      <c r="R134" s="730"/>
      <c r="S134" s="283"/>
      <c r="T134" s="604"/>
      <c r="U134" s="142" t="s">
        <v>180</v>
      </c>
      <c r="V134" s="429"/>
      <c r="W134" s="301"/>
      <c r="X134" s="302" t="str">
        <f>IF(W134=[6]Listas!$B$46,[6]Listas!$C$46,IF(W134=[6]Listas!$B$47,[6]Listas!$C$47,IF(W134=[6]Listas!$B$48,[6]Listas!$C$48,"")))</f>
        <v/>
      </c>
      <c r="Y134" s="303" t="str">
        <f>IF(OR(W134=[6]Listas!$F$53,W134=[6]Listas!$F$54),[6]Listas!$G$53,IF(W134=[6]Listas!$F$55,[6]Listas!$G$55,""))</f>
        <v/>
      </c>
      <c r="Z134" s="301"/>
      <c r="AA134" s="143" t="str">
        <f>+IF(Z134=[6]Listas!$E$46,[6]Listas!$F$46,IF(Z134=[6]Listas!$E$47,[6]Listas!$F$47,""))</f>
        <v/>
      </c>
      <c r="AB134" s="144" t="str">
        <f>IFERROR(X134+AA134,"")</f>
        <v/>
      </c>
      <c r="AC134" s="301"/>
      <c r="AD134" s="301"/>
      <c r="AE134" s="304"/>
      <c r="AF134" s="305" t="str">
        <f t="shared" si="11"/>
        <v>Muy baja</v>
      </c>
      <c r="AG134" s="145">
        <f>IF(Y134=[6]Listas!$G$53,AG133-(AG133*AB134),AG133)</f>
        <v>0.12</v>
      </c>
      <c r="AH134" s="562"/>
      <c r="AI134" s="305" t="str">
        <f t="shared" si="16"/>
        <v>Moderado</v>
      </c>
      <c r="AJ134" s="145">
        <f>IF(Y134=[6]Listas!$G$55,AJ133-(AJ133*AB134),AJ133)</f>
        <v>0.6</v>
      </c>
      <c r="AK134" s="562"/>
      <c r="AL134" s="565"/>
      <c r="AM134" s="565"/>
      <c r="AN134" s="565"/>
      <c r="AO134" s="568"/>
      <c r="AP134" s="631"/>
      <c r="AQ134" s="306" t="s">
        <v>90</v>
      </c>
      <c r="AR134" s="180" t="s">
        <v>322</v>
      </c>
    </row>
    <row r="135" spans="2:70" ht="15" hidden="1" customHeight="1" thickBot="1" x14ac:dyDescent="0.4">
      <c r="B135" s="870"/>
      <c r="C135" s="559"/>
      <c r="D135" s="761"/>
      <c r="E135" s="769"/>
      <c r="F135" s="772"/>
      <c r="G135" s="821"/>
      <c r="H135" s="821"/>
      <c r="I135" s="727"/>
      <c r="J135" s="727"/>
      <c r="K135" s="824"/>
      <c r="L135" s="727"/>
      <c r="M135" s="724"/>
      <c r="N135" s="598"/>
      <c r="O135" s="730"/>
      <c r="P135" s="724"/>
      <c r="Q135" s="604"/>
      <c r="R135" s="730"/>
      <c r="S135" s="283"/>
      <c r="T135" s="604"/>
      <c r="U135" s="142" t="s">
        <v>190</v>
      </c>
      <c r="V135" s="429"/>
      <c r="W135" s="301"/>
      <c r="X135" s="302" t="str">
        <f>IF(W135=[6]Listas!$B$46,[6]Listas!$C$46,IF(W135=[6]Listas!$B$47,[6]Listas!$C$47,IF(W135=[6]Listas!$B$48,[6]Listas!$C$48,"")))</f>
        <v/>
      </c>
      <c r="Y135" s="303" t="str">
        <f>IF(OR(W135=[6]Listas!$F$53,W135=[6]Listas!$F$54),[6]Listas!$G$53,IF(W135=[6]Listas!$F$55,[6]Listas!$G$55,""))</f>
        <v/>
      </c>
      <c r="Z135" s="301"/>
      <c r="AA135" s="143" t="str">
        <f>+IF(Z135=[6]Listas!$E$46,[6]Listas!$F$46,IF(Z135=[6]Listas!$E$47,[6]Listas!$F$47,""))</f>
        <v/>
      </c>
      <c r="AB135" s="144" t="str">
        <f t="shared" ref="AB135:AB141" si="18">IFERROR(X135+AA135,"")</f>
        <v/>
      </c>
      <c r="AC135" s="301"/>
      <c r="AD135" s="301"/>
      <c r="AE135" s="304"/>
      <c r="AF135" s="305" t="str">
        <f t="shared" si="11"/>
        <v>Muy baja</v>
      </c>
      <c r="AG135" s="145">
        <f>IF(Y135=[6]Listas!$G$53,AG134-(AG134*AB135),AG134)</f>
        <v>0.12</v>
      </c>
      <c r="AH135" s="562"/>
      <c r="AI135" s="305" t="str">
        <f t="shared" si="16"/>
        <v>Moderado</v>
      </c>
      <c r="AJ135" s="145">
        <f>IF(Y135=[6]Listas!$G$55,AJ134-(AJ134*AB135),AJ134)</f>
        <v>0.6</v>
      </c>
      <c r="AK135" s="562"/>
      <c r="AL135" s="565"/>
      <c r="AM135" s="565"/>
      <c r="AN135" s="565"/>
      <c r="AO135" s="568"/>
      <c r="AP135" s="631"/>
      <c r="AQ135" s="306"/>
      <c r="AR135" s="117"/>
    </row>
    <row r="136" spans="2:70" ht="15" hidden="1" customHeight="1" x14ac:dyDescent="0.35">
      <c r="B136" s="870"/>
      <c r="C136" s="559"/>
      <c r="D136" s="761"/>
      <c r="E136" s="769"/>
      <c r="F136" s="772"/>
      <c r="G136" s="821"/>
      <c r="H136" s="821"/>
      <c r="I136" s="727"/>
      <c r="J136" s="727"/>
      <c r="K136" s="824"/>
      <c r="L136" s="727"/>
      <c r="M136" s="724"/>
      <c r="N136" s="598"/>
      <c r="O136" s="730"/>
      <c r="P136" s="724"/>
      <c r="Q136" s="604"/>
      <c r="R136" s="730"/>
      <c r="S136" s="283"/>
      <c r="T136" s="604"/>
      <c r="U136" s="142" t="s">
        <v>198</v>
      </c>
      <c r="V136" s="429"/>
      <c r="W136" s="301"/>
      <c r="X136" s="302" t="str">
        <f>IF(W136=[6]Listas!$B$46,[6]Listas!$C$46,IF(W136=[6]Listas!$B$47,[6]Listas!$C$47,IF(W136=[6]Listas!$B$48,[6]Listas!$C$48,"")))</f>
        <v/>
      </c>
      <c r="Y136" s="303" t="str">
        <f>IF(OR(W136=[6]Listas!$F$53,W136=[6]Listas!$F$54),[6]Listas!$G$53,IF(W136=[6]Listas!$F$55,[6]Listas!$G$55,""))</f>
        <v/>
      </c>
      <c r="Z136" s="301"/>
      <c r="AA136" s="143" t="str">
        <f>+IF(Z136=[6]Listas!$E$46,[6]Listas!$F$46,IF(Z136=[6]Listas!$E$47,[6]Listas!$F$47,""))</f>
        <v/>
      </c>
      <c r="AB136" s="144" t="str">
        <f t="shared" si="18"/>
        <v/>
      </c>
      <c r="AC136" s="301"/>
      <c r="AD136" s="301"/>
      <c r="AE136" s="304"/>
      <c r="AF136" s="305" t="str">
        <f t="shared" si="11"/>
        <v>Muy baja</v>
      </c>
      <c r="AG136" s="145">
        <f>IF(Y136=[6]Listas!$G$53,AG135-(AG135*AB136),AG135)</f>
        <v>0.12</v>
      </c>
      <c r="AH136" s="562"/>
      <c r="AI136" s="305" t="str">
        <f t="shared" si="16"/>
        <v>Moderado</v>
      </c>
      <c r="AJ136" s="145">
        <f>IF(Y136=[6]Listas!$G$55,AJ135-(AJ135*AB136),AJ135)</f>
        <v>0.6</v>
      </c>
      <c r="AK136" s="562"/>
      <c r="AL136" s="565"/>
      <c r="AM136" s="565"/>
      <c r="AN136" s="565"/>
      <c r="AO136" s="568"/>
      <c r="AP136" s="631"/>
      <c r="AQ136" s="306"/>
      <c r="AR136" s="117"/>
    </row>
    <row r="137" spans="2:70" ht="15.75" hidden="1" customHeight="1" thickTop="1" x14ac:dyDescent="0.35">
      <c r="B137" s="870"/>
      <c r="C137" s="559"/>
      <c r="D137" s="761"/>
      <c r="E137" s="769"/>
      <c r="F137" s="772"/>
      <c r="G137" s="821"/>
      <c r="H137" s="821"/>
      <c r="I137" s="727"/>
      <c r="J137" s="727"/>
      <c r="K137" s="824"/>
      <c r="L137" s="727"/>
      <c r="M137" s="724"/>
      <c r="N137" s="598"/>
      <c r="O137" s="730"/>
      <c r="P137" s="724"/>
      <c r="Q137" s="604"/>
      <c r="R137" s="730"/>
      <c r="S137" s="283"/>
      <c r="T137" s="604"/>
      <c r="U137" s="142" t="s">
        <v>208</v>
      </c>
      <c r="V137" s="429"/>
      <c r="W137" s="301"/>
      <c r="X137" s="302" t="str">
        <f>IF(W137=[6]Listas!$B$46,[6]Listas!$C$46,IF(W137=[6]Listas!$B$47,[6]Listas!$C$47,IF(W137=[6]Listas!$B$48,[6]Listas!$C$48,"")))</f>
        <v/>
      </c>
      <c r="Y137" s="303" t="str">
        <f>IF(OR(W137=[6]Listas!$F$53,W137=[6]Listas!$F$54),[6]Listas!$G$53,IF(W137=[6]Listas!$F$55,[6]Listas!$G$55,""))</f>
        <v/>
      </c>
      <c r="Z137" s="301"/>
      <c r="AA137" s="143" t="str">
        <f>+IF(Z137=[6]Listas!$E$46,[6]Listas!$F$46,IF(Z137=[6]Listas!$E$47,[6]Listas!$F$47,""))</f>
        <v/>
      </c>
      <c r="AB137" s="144" t="str">
        <f t="shared" si="18"/>
        <v/>
      </c>
      <c r="AC137" s="301"/>
      <c r="AD137" s="301"/>
      <c r="AE137" s="304"/>
      <c r="AF137" s="305" t="str">
        <f t="shared" si="11"/>
        <v>Muy baja</v>
      </c>
      <c r="AG137" s="145">
        <f>IF(Y137=[6]Listas!$G$53,AG136-(AG136*AB137),AG136)</f>
        <v>0.12</v>
      </c>
      <c r="AH137" s="562"/>
      <c r="AI137" s="305" t="str">
        <f t="shared" si="16"/>
        <v>Moderado</v>
      </c>
      <c r="AJ137" s="145">
        <f>IF(Y137=[6]Listas!$G$55,AJ136-(AJ136*AB137),AJ136)</f>
        <v>0.6</v>
      </c>
      <c r="AK137" s="562"/>
      <c r="AL137" s="565"/>
      <c r="AM137" s="565"/>
      <c r="AN137" s="565"/>
      <c r="AO137" s="568"/>
      <c r="AP137" s="631"/>
      <c r="AQ137" s="306"/>
      <c r="AR137" s="117"/>
    </row>
    <row r="138" spans="2:70" ht="15" hidden="1" customHeight="1" thickTop="1" x14ac:dyDescent="0.35">
      <c r="B138" s="870"/>
      <c r="C138" s="559"/>
      <c r="D138" s="761"/>
      <c r="E138" s="769"/>
      <c r="F138" s="772"/>
      <c r="G138" s="821"/>
      <c r="H138" s="821"/>
      <c r="I138" s="727"/>
      <c r="J138" s="727"/>
      <c r="K138" s="824"/>
      <c r="L138" s="727"/>
      <c r="M138" s="724"/>
      <c r="N138" s="598"/>
      <c r="O138" s="730"/>
      <c r="P138" s="724"/>
      <c r="Q138" s="604"/>
      <c r="R138" s="730"/>
      <c r="S138" s="283"/>
      <c r="T138" s="604"/>
      <c r="U138" s="142" t="s">
        <v>215</v>
      </c>
      <c r="V138" s="429"/>
      <c r="W138" s="301"/>
      <c r="X138" s="302" t="str">
        <f>IF(W138=[6]Listas!$B$46,[6]Listas!$C$46,IF(W138=[6]Listas!$B$47,[6]Listas!$C$47,IF(W138=[6]Listas!$B$48,[6]Listas!$C$48,"")))</f>
        <v/>
      </c>
      <c r="Y138" s="303" t="str">
        <f>IF(OR(W138=[6]Listas!$F$53,W138=[6]Listas!$F$54),[6]Listas!$G$53,IF(W138=[6]Listas!$F$55,[6]Listas!$G$55,""))</f>
        <v/>
      </c>
      <c r="Z138" s="301"/>
      <c r="AA138" s="143" t="str">
        <f>+IF(Z138=[6]Listas!$E$46,[6]Listas!$F$46,IF(Z138=[6]Listas!$E$47,[6]Listas!$F$47,""))</f>
        <v/>
      </c>
      <c r="AB138" s="144" t="str">
        <f t="shared" si="18"/>
        <v/>
      </c>
      <c r="AC138" s="301"/>
      <c r="AD138" s="301"/>
      <c r="AE138" s="304"/>
      <c r="AF138" s="305" t="str">
        <f t="shared" si="11"/>
        <v>Muy baja</v>
      </c>
      <c r="AG138" s="145">
        <f>IF(Y138=[6]Listas!$G$53,AG137-(AG137*AB138),AG137)</f>
        <v>0.12</v>
      </c>
      <c r="AH138" s="562"/>
      <c r="AI138" s="305" t="str">
        <f t="shared" si="16"/>
        <v>Moderado</v>
      </c>
      <c r="AJ138" s="145">
        <f>IF(Y138=[6]Listas!$G$55,AJ137-(AJ137*AB138),AJ137)</f>
        <v>0.6</v>
      </c>
      <c r="AK138" s="562"/>
      <c r="AL138" s="565"/>
      <c r="AM138" s="565"/>
      <c r="AN138" s="565"/>
      <c r="AO138" s="568"/>
      <c r="AP138" s="631"/>
      <c r="AQ138" s="306"/>
      <c r="AR138" s="117"/>
    </row>
    <row r="139" spans="2:70" ht="15" hidden="1" customHeight="1" thickTop="1" x14ac:dyDescent="0.35">
      <c r="B139" s="870"/>
      <c r="C139" s="559"/>
      <c r="D139" s="761"/>
      <c r="E139" s="769"/>
      <c r="F139" s="772"/>
      <c r="G139" s="821"/>
      <c r="H139" s="821"/>
      <c r="I139" s="727"/>
      <c r="J139" s="727"/>
      <c r="K139" s="824"/>
      <c r="L139" s="727"/>
      <c r="M139" s="724"/>
      <c r="N139" s="598"/>
      <c r="O139" s="730"/>
      <c r="P139" s="724"/>
      <c r="Q139" s="604"/>
      <c r="R139" s="730"/>
      <c r="S139" s="283"/>
      <c r="T139" s="604"/>
      <c r="U139" s="142" t="s">
        <v>220</v>
      </c>
      <c r="V139" s="429"/>
      <c r="W139" s="301"/>
      <c r="X139" s="302" t="str">
        <f>IF(W139=[6]Listas!$B$46,[6]Listas!$C$46,IF(W139=[6]Listas!$B$47,[6]Listas!$C$47,IF(W139=[6]Listas!$B$48,[6]Listas!$C$48,"")))</f>
        <v/>
      </c>
      <c r="Y139" s="303" t="str">
        <f>IF(OR(W139=[6]Listas!$F$53,W139=[6]Listas!$F$54),[6]Listas!$G$53,IF(W139=[6]Listas!$F$55,[6]Listas!$G$55,""))</f>
        <v/>
      </c>
      <c r="Z139" s="301"/>
      <c r="AA139" s="143" t="str">
        <f>+IF(Z139=[6]Listas!$E$46,[6]Listas!$F$46,IF(Z139=[6]Listas!$E$47,[6]Listas!$F$47,""))</f>
        <v/>
      </c>
      <c r="AB139" s="144" t="str">
        <f t="shared" si="18"/>
        <v/>
      </c>
      <c r="AC139" s="301"/>
      <c r="AD139" s="301"/>
      <c r="AE139" s="304"/>
      <c r="AF139" s="305" t="str">
        <f t="shared" si="11"/>
        <v>Muy baja</v>
      </c>
      <c r="AG139" s="145">
        <f>IF(Y139=[6]Listas!$G$53,AG138-(AG138*AB139),AG138)</f>
        <v>0.12</v>
      </c>
      <c r="AH139" s="562"/>
      <c r="AI139" s="305" t="str">
        <f t="shared" si="16"/>
        <v>Moderado</v>
      </c>
      <c r="AJ139" s="145">
        <f>IF(Y139=[6]Listas!$G$55,AJ138-(AJ138*AB139),AJ138)</f>
        <v>0.6</v>
      </c>
      <c r="AK139" s="562"/>
      <c r="AL139" s="565"/>
      <c r="AM139" s="565"/>
      <c r="AN139" s="565"/>
      <c r="AO139" s="568"/>
      <c r="AP139" s="631"/>
      <c r="AQ139" s="306"/>
      <c r="AR139" s="117"/>
    </row>
    <row r="140" spans="2:70" ht="15" hidden="1" customHeight="1" thickTop="1" x14ac:dyDescent="0.35">
      <c r="B140" s="870"/>
      <c r="C140" s="559"/>
      <c r="D140" s="761"/>
      <c r="E140" s="769"/>
      <c r="F140" s="772"/>
      <c r="G140" s="821"/>
      <c r="H140" s="821"/>
      <c r="I140" s="727"/>
      <c r="J140" s="727"/>
      <c r="K140" s="824"/>
      <c r="L140" s="727"/>
      <c r="M140" s="724"/>
      <c r="N140" s="598"/>
      <c r="O140" s="730"/>
      <c r="P140" s="724"/>
      <c r="Q140" s="604"/>
      <c r="R140" s="730"/>
      <c r="S140" s="283"/>
      <c r="T140" s="604"/>
      <c r="U140" s="142" t="s">
        <v>223</v>
      </c>
      <c r="V140" s="429"/>
      <c r="W140" s="301"/>
      <c r="X140" s="302" t="str">
        <f>IF(W140=[6]Listas!$B$46,[6]Listas!$C$46,IF(W140=[6]Listas!$B$47,[6]Listas!$C$47,IF(W140=[6]Listas!$B$48,[6]Listas!$C$48,"")))</f>
        <v/>
      </c>
      <c r="Y140" s="303" t="str">
        <f>IF(OR(W140=[6]Listas!$F$53,W140=[6]Listas!$F$54),[6]Listas!$G$53,IF(W140=[6]Listas!$F$55,[6]Listas!$G$55,""))</f>
        <v/>
      </c>
      <c r="Z140" s="301"/>
      <c r="AA140" s="143" t="str">
        <f>+IF(Z140=[6]Listas!$E$46,[6]Listas!$F$46,IF(Z140=[6]Listas!$E$47,[6]Listas!$F$47,""))</f>
        <v/>
      </c>
      <c r="AB140" s="144" t="str">
        <f t="shared" si="18"/>
        <v/>
      </c>
      <c r="AC140" s="301"/>
      <c r="AD140" s="301"/>
      <c r="AE140" s="304"/>
      <c r="AF140" s="305" t="str">
        <f t="shared" ref="AF140:AF203" si="19">IF(AG140="","",IF(AG140&lt;=20%,"Muy baja",IF(AG140&lt;=40%,"Baja",IF(AG140&lt;=60%,"Media",IF(AG140&lt;=80%,"Alta","Muy alta")))))</f>
        <v>Muy baja</v>
      </c>
      <c r="AG140" s="145">
        <f>IF(Y140=[6]Listas!$G$53,AG139-(AG139*AB140),AG139)</f>
        <v>0.12</v>
      </c>
      <c r="AH140" s="562"/>
      <c r="AI140" s="305" t="str">
        <f t="shared" si="16"/>
        <v>Moderado</v>
      </c>
      <c r="AJ140" s="145">
        <f>IF(Y140=[6]Listas!$G$55,AJ139-(AJ139*AB140),AJ139)</f>
        <v>0.6</v>
      </c>
      <c r="AK140" s="562"/>
      <c r="AL140" s="565"/>
      <c r="AM140" s="565"/>
      <c r="AN140" s="565"/>
      <c r="AO140" s="568"/>
      <c r="AP140" s="631"/>
      <c r="AQ140" s="306"/>
      <c r="AR140" s="117"/>
    </row>
    <row r="141" spans="2:70" ht="15.75" hidden="1" customHeight="1" thickTop="1" x14ac:dyDescent="0.35">
      <c r="B141" s="870"/>
      <c r="C141" s="559"/>
      <c r="D141" s="762"/>
      <c r="E141" s="770"/>
      <c r="F141" s="773"/>
      <c r="G141" s="822"/>
      <c r="H141" s="822"/>
      <c r="I141" s="728"/>
      <c r="J141" s="728"/>
      <c r="K141" s="825"/>
      <c r="L141" s="728"/>
      <c r="M141" s="725"/>
      <c r="N141" s="599"/>
      <c r="O141" s="731"/>
      <c r="P141" s="725"/>
      <c r="Q141" s="605"/>
      <c r="R141" s="731"/>
      <c r="S141" s="284"/>
      <c r="T141" s="605"/>
      <c r="U141" s="202" t="s">
        <v>224</v>
      </c>
      <c r="V141" s="420"/>
      <c r="W141" s="307"/>
      <c r="X141" s="308" t="str">
        <f>IF(W141=[6]Listas!$B$46,[6]Listas!$C$46,IF(W141=[6]Listas!$B$47,[6]Listas!$C$47,IF(W141=[6]Listas!$B$48,[6]Listas!$C$48,"")))</f>
        <v/>
      </c>
      <c r="Y141" s="309" t="str">
        <f>IF(OR(W141=[6]Listas!$F$53,W141=[6]Listas!$F$54),[6]Listas!$G$53,IF(W141=[6]Listas!$F$55,[6]Listas!$G$55,""))</f>
        <v/>
      </c>
      <c r="Z141" s="307"/>
      <c r="AA141" s="177" t="str">
        <f>+IF(Z141=[6]Listas!$E$46,[6]Listas!$F$46,IF(Z141=[6]Listas!$E$47,[6]Listas!$F$47,""))</f>
        <v/>
      </c>
      <c r="AB141" s="178" t="str">
        <f t="shared" si="18"/>
        <v/>
      </c>
      <c r="AC141" s="307"/>
      <c r="AD141" s="307"/>
      <c r="AE141" s="310"/>
      <c r="AF141" s="352" t="str">
        <f t="shared" si="19"/>
        <v>Muy baja</v>
      </c>
      <c r="AG141" s="205">
        <f>IF(Y141=[6]Listas!$G$53,AG140-(AG140*AB141),AG140)</f>
        <v>0.12</v>
      </c>
      <c r="AH141" s="657"/>
      <c r="AI141" s="352" t="str">
        <f t="shared" si="16"/>
        <v>Moderado</v>
      </c>
      <c r="AJ141" s="205">
        <f>IF(Y141=[6]Listas!$G$55,AJ140-(AJ140*AB141),AJ140)</f>
        <v>0.6</v>
      </c>
      <c r="AK141" s="657"/>
      <c r="AL141" s="658"/>
      <c r="AM141" s="658"/>
      <c r="AN141" s="658"/>
      <c r="AO141" s="569"/>
      <c r="AP141" s="632"/>
      <c r="AQ141" s="312"/>
      <c r="AR141" s="180"/>
    </row>
    <row r="142" spans="2:70" ht="67.5" customHeight="1" thickTop="1" thickBot="1" x14ac:dyDescent="0.4">
      <c r="B142" s="870"/>
      <c r="C142" s="559"/>
      <c r="D142" s="744" t="s">
        <v>323</v>
      </c>
      <c r="E142" s="576" t="s">
        <v>4</v>
      </c>
      <c r="F142" s="645" t="s">
        <v>324</v>
      </c>
      <c r="G142" s="662" t="s">
        <v>325</v>
      </c>
      <c r="H142" s="665" t="s">
        <v>326</v>
      </c>
      <c r="I142" s="588" t="s">
        <v>20</v>
      </c>
      <c r="J142" s="588" t="s">
        <v>22</v>
      </c>
      <c r="K142" s="591" t="s">
        <v>327</v>
      </c>
      <c r="L142" s="588" t="s">
        <v>186</v>
      </c>
      <c r="M142" s="594" t="s">
        <v>207</v>
      </c>
      <c r="N142" s="597" t="str">
        <f>+IF(M142="","",IF(M142=$BO$15,$BN$15,IF(M142=$BO$16,$BN$16,IF(M142=$BO$17,$BN$17,IF(M142=$BO$18,$BN$18,IF(M142=$BO$19,$BN$19))))))</f>
        <v>Baja</v>
      </c>
      <c r="O142" s="600">
        <f>+IF(M142="","",IF(M142=$BO$15,$BR$15,IF(M142=$BO$16,$BR$16,IF(M142=$BO$17,$BR$17,IF(M142=$BO$18,$BR$18,IF(M142=$BO$19,$BR$19))))))</f>
        <v>0.4</v>
      </c>
      <c r="P142" s="594" t="s">
        <v>205</v>
      </c>
      <c r="Q142" s="603" t="str">
        <f>+IF(P142="","",IF(P142='[6]Mapa de Calor inherente'!$AF$6,'[6]Mapa de Calor inherente'!$AD$6,IF(P142='[6]Mapa de Calor inherente'!$AF$7,'[6]Mapa de Calor inherente'!$AD$7,IF(P142='[6]Mapa de Calor inherente'!$AF$8,'[6]Mapa de Calor inherente'!$AD$8,IF(P142='[6]Mapa de Calor inherente'!$AF$9,'[6]Mapa de Calor inherente'!$AD$9,IF(P142='[6]Mapa de Calor inherente'!$AF$10,'[6]Mapa de Calor inherente'!$AD$10,IF(P142='[6]Mapa de Calor inherente'!$AG$6,'[6]Mapa de Calor inherente'!$AD$6,IF(P142='[6]Mapa de Calor inherente'!$AG$7,'[6]Mapa de Calor inherente'!$AD$7,IF(P142='[6]Mapa de Calor inherente'!$AG$8,'[6]Mapa de Calor inherente'!$AD$8,IF(P142='[6]Mapa de Calor inherente'!$AG$9,'[6]Mapa de Calor inherente'!$AD$9,IF(P142='[6]Mapa de Calor inherente'!$AG$10,'[6]Mapa de Calor inherente'!$AD$10,IF(P142='[6]Mapa de Calor inherente'!$AD$8,'[6]Mapa de Calor inherente'!$AD$8,IF(P142='[6]Mapa de Calor inherente'!$AD$9,'[6]Mapa de Calor inherente'!$AD$9,IF(P142='[6]Mapa de Calor inherente'!$AD$10,'[6]Mapa de Calor inherente'!$AD$10))))))))))))))</f>
        <v>Menor</v>
      </c>
      <c r="R142" s="600">
        <f>+IF(P142="","",IF(P142='[6]Mapa de Calor inherente'!$AF$6,'[6]Mapa de Calor inherente'!$AE$6,IF(P142='[6]Mapa de Calor inherente'!$AF$7,'[6]Mapa de Calor inherente'!$AE$7,IF(P142='[6]Mapa de Calor inherente'!$AF$8,'[6]Mapa de Calor inherente'!$AE$8,IF(P142='[6]Mapa de Calor inherente'!$AF$9,'[6]Mapa de Calor inherente'!$AE$9,IF(P142='[6]Mapa de Calor inherente'!$AF$10,'[6]Mapa de Calor inherente'!$AE$10,IF(P142='[6]Mapa de Calor inherente'!$AG$6,'[6]Mapa de Calor inherente'!$AE$6,IF(P142='[6]Mapa de Calor inherente'!$AG$7,'[6]Mapa de Calor inherente'!$AE$7,IF(P142='[6]Mapa de Calor inherente'!$AG$8,'[6]Mapa de Calor inherente'!$AE$8,IF(P142='[6]Mapa de Calor inherente'!$AG$9,'[6]Mapa de Calor inherente'!$AE$9,IF(P142='[6]Mapa de Calor inherente'!$AG$10,'[6]Mapa de Calor inherente'!$AE$10,IF(P142='[6]Mapa de Calor inherente'!$AD$8,'[6]Mapa de Calor inherente'!$AE$8,IF(P142='[6]Mapa de Calor inherente'!$AD$9,'[6]Mapa de Calor inherente'!$AE$9,IF(P142='[6]Mapa de Calor inherente'!$AD$10,'[6]Mapa de Calor inherente'!$AE$10))))))))))))))</f>
        <v>0.4</v>
      </c>
      <c r="S142" s="292"/>
      <c r="T142" s="603" t="str">
        <f>+IF(N142=$BB$17,IF(Q142=$BC$16,$BC$17,IF(Q142=$BD$16,$BD$17,IF(Q142=$BE$16,$BE$17,IF(Q142=$BF$16,$BF$17,IF(Q142=$BG$16,$BG$17))))),IF(N142=$BB$18,IF(Q142=$BC$16,$BC$18,IF(Q142=$BD$16,$BD$18,IF(Q142=$BE$16,$BE$18,IF(Q142=$BF$16,$BF$18,IF(Q142=$BG$16,$BG$18))))),IF(N142=$BB$19,IF(Q142=$BC$16,$BC$19,IF(Q142=$BD$16,$BD$19,IF(Q142=$BE$16,$BE$19,IF(Q142=$BF$16,$BF$19,IF(Q142=$BG$16,$BG$19))))),IF(N142=$BB$20,IF(Q142=$BC$16,$BC$20,IF(Q142=$BD$16,$BD$20,IF(Q142=$BE$16,$BE$20,IF(Q142=$BF$16,$BF$20,IF(Q142=$BG$16,$BG$20))))),IF(N142=$BB$21,IF(Q142=$BC$16,$BC$21,IF(Q142=$BD$16,$BD$21,IF(Q142=$BE$16,$BE$21,IF(Q142=$BF$16,$BF$21,IF(Q142=$BG$16,$BG$21))))),"")))))</f>
        <v>Moderado</v>
      </c>
      <c r="U142" s="139" t="s">
        <v>171</v>
      </c>
      <c r="V142" s="430" t="s">
        <v>328</v>
      </c>
      <c r="W142" s="313" t="s">
        <v>40</v>
      </c>
      <c r="X142" s="314">
        <f>IF(W142=[6]Listas!$B$46,[6]Listas!$C$46,IF(W142=[6]Listas!$B$47,[6]Listas!$C$47,IF(W142=[6]Listas!$B$48,[6]Listas!$C$48,"")))</f>
        <v>0.25</v>
      </c>
      <c r="Y142" s="315" t="str">
        <f>IF(OR(W142=[6]Listas!$F$53,W142=[6]Listas!$F$54),[6]Listas!$G$53,IF(W142=[6]Listas!$F$55,[6]Listas!$G$55,""))</f>
        <v>Probabilidad</v>
      </c>
      <c r="Z142" s="313" t="s">
        <v>43</v>
      </c>
      <c r="AA142" s="314">
        <f>+IF(Z142=[6]Listas!$E$46,[6]Listas!$F$46,IF(Z142=[6]Listas!$E$47,[6]Listas!$F$47,""))</f>
        <v>0.15</v>
      </c>
      <c r="AB142" s="181">
        <f>IFERROR(X142+AA142,"")</f>
        <v>0.4</v>
      </c>
      <c r="AC142" s="313" t="s">
        <v>57</v>
      </c>
      <c r="AD142" s="313" t="s">
        <v>58</v>
      </c>
      <c r="AE142" s="317" t="s">
        <v>59</v>
      </c>
      <c r="AF142" s="299" t="str">
        <f t="shared" si="19"/>
        <v>Baja</v>
      </c>
      <c r="AG142" s="141">
        <f>IF(Y142=[6]Listas!$G$53,O142-(O142*AB142),O142)</f>
        <v>0.24</v>
      </c>
      <c r="AH142" s="561">
        <f>+IF(AG151="","",AG151)</f>
        <v>8.6399999999999991E-2</v>
      </c>
      <c r="AI142" s="299" t="str">
        <f>IF(AJ142="","",IF(AJ142&lt;=20%,"Leve",IF(AJ142&lt;=40%,"Menor",IF(AJ142&lt;=60%,"Moderado",IF(AJ142&lt;=80%,"Mayor","Catastrófico")))))</f>
        <v>Menor</v>
      </c>
      <c r="AJ142" s="141">
        <f>IF(Y142=[6]Listas!$G$55,R142-(R142*AB142),R142)</f>
        <v>0.4</v>
      </c>
      <c r="AK142" s="561">
        <f>+IF(AJ151="","",AJ151)</f>
        <v>0.4</v>
      </c>
      <c r="AL142" s="564" t="str">
        <f>+IF(AH142=0,"",IF(AH142&lt;=$BA$21,$BB$21,IF(AH142&lt;=$BA$20,$BB$20,IF(AH142&lt;=$BA$19,$BB$19,IF(AH142&lt;=$BA$18,$BB$18,IF(AH142&lt;=$BA$17,$BB$17,""))))))</f>
        <v>Muy Baja</v>
      </c>
      <c r="AM142" s="564" t="str">
        <f>+IF(AK142=0,"",IF(AK142&lt;=$BC$15,$BC$16,IF(AK142&lt;=$BD$15,$BD$16,IF(AK142&lt;=$BE$15,$BE$16,IF(AK142&lt;=$BF$15,$BF$16,IF(AK142&lt;=$BG$15,$BG$16,""))))))</f>
        <v>Menor</v>
      </c>
      <c r="AN142" s="564" t="str">
        <f>IF(AL142=$BB$17,IF(AM142=$BC$16,$BC$17,IF(AM142=$BD$16,$BD$17,IF(AM142=$BE$16,$BE$17,IF(AM142=$BF$16,$BF$17,IF(AM142=$BG$16,$BG$17))))),IF(AL142=$BB$18,IF(AM142=$BC$16,$BC$18,IF(AM142=$BD$16,$BD$18,IF(AM142=$BE$16,$BE$18,IF(AM142=$BF$16,$BF$18,IF(AM142=$BG$16,$BG$18))))),IF(AL142=$BB$19,IF(AM142=$BC$16,$BC$19,IF(AM142=$BD$16,$BD$19,IF(AM142=$BE$16,$BE$19,IF(AM142=$BF$16,$BF$19,IF(AM142=$BG$16,$BG$19))))),IF(AL142=$BB$20,IF(AM142=$BC$16,$BC$20,IF(AM142=$BD$16,$BD$20,IF(AM142=$BE$16,$BE$20,IF(AM142=$BF$16,$BF$20,IF(AM142=$BG$16,$BG$20))))),IF(AL142=$BB$21,IF(AM142=$BC$16,$BC$21,IF(AM142=$BD$16,$BD$21,IF(AM142=$BE$16,$BE$21,IF(AM142=$BF$16,$BF$21,IF(AM142=$BG$16,$BG$21))))),"")))))</f>
        <v>Bajo</v>
      </c>
      <c r="AO142" s="567" t="str">
        <f>IF(AP142="","",IF(AP142=[6]Listas!$F$61,[6]Listas!$G$61,IF(AP142=[6]Listas!$F$63,[6]Listas!$G$63,IF(AP142=[6]Listas!$F$64,[6]Listas!$G$64))))</f>
        <v>No requiere Plan de Acción</v>
      </c>
      <c r="AP142" s="570" t="str">
        <f>IF(AN142="","",IF(OR(AN142=[6]Listas!$E$61,AN142=[6]Listas!$E$62),[6]Listas!$F$61,IF(AN142=[6]Listas!$E$63,[6]Listas!$F$63,IF(AN142=[6]Listas!$E$64,[6]Listas!$F$64))))</f>
        <v>Aceptar  el riesgo</v>
      </c>
      <c r="AQ142" s="342" t="s">
        <v>76</v>
      </c>
      <c r="AR142" s="203" t="s">
        <v>329</v>
      </c>
    </row>
    <row r="143" spans="2:70" ht="74.25" customHeight="1" thickTop="1" thickBot="1" x14ac:dyDescent="0.4">
      <c r="B143" s="870"/>
      <c r="C143" s="559"/>
      <c r="D143" s="745"/>
      <c r="E143" s="577"/>
      <c r="F143" s="646"/>
      <c r="G143" s="663"/>
      <c r="H143" s="666"/>
      <c r="I143" s="589"/>
      <c r="J143" s="589"/>
      <c r="K143" s="592"/>
      <c r="L143" s="589"/>
      <c r="M143" s="595"/>
      <c r="N143" s="598"/>
      <c r="O143" s="601"/>
      <c r="P143" s="595"/>
      <c r="Q143" s="604"/>
      <c r="R143" s="601"/>
      <c r="S143" s="286"/>
      <c r="T143" s="604"/>
      <c r="U143" s="142" t="s">
        <v>174</v>
      </c>
      <c r="V143" s="431" t="s">
        <v>330</v>
      </c>
      <c r="W143" s="331" t="s">
        <v>40</v>
      </c>
      <c r="X143" s="320">
        <f>IF(W143=[6]Listas!$B$46,[6]Listas!$C$46,IF(W143=[6]Listas!$B$47,[6]Listas!$C$47,IF(W143=[6]Listas!$B$48,[6]Listas!$C$48,"")))</f>
        <v>0.25</v>
      </c>
      <c r="Y143" s="321" t="str">
        <f>IF(OR(W143=[6]Listas!$F$53,W143=[6]Listas!$F$54),[6]Listas!$G$53,IF(W143=[6]Listas!$F$55,[6]Listas!$G$55,""))</f>
        <v>Probabilidad</v>
      </c>
      <c r="Z143" s="331" t="s">
        <v>43</v>
      </c>
      <c r="AA143" s="182">
        <f>+IF(Z143=[6]Listas!$E$46,[6]Listas!$F$46,IF(Z143=[6]Listas!$E$47,[6]Listas!$F$47,""))</f>
        <v>0.15</v>
      </c>
      <c r="AB143" s="183">
        <f>IFERROR(X143+AA143,"")</f>
        <v>0.4</v>
      </c>
      <c r="AC143" s="319" t="s">
        <v>57</v>
      </c>
      <c r="AD143" s="319" t="s">
        <v>58</v>
      </c>
      <c r="AE143" s="323" t="s">
        <v>59</v>
      </c>
      <c r="AF143" s="305" t="str">
        <f t="shared" si="19"/>
        <v>Muy baja</v>
      </c>
      <c r="AG143" s="145">
        <f>IF(Y143=[6]Listas!$G$53,AG142-(AG142*AB143),AG142)</f>
        <v>0.14399999999999999</v>
      </c>
      <c r="AH143" s="562"/>
      <c r="AI143" s="305" t="str">
        <f t="shared" si="16"/>
        <v>Menor</v>
      </c>
      <c r="AJ143" s="145">
        <f>IF(Y143=[6]Listas!$G$55,AJ142-(AJ142*AB143),AJ142)</f>
        <v>0.4</v>
      </c>
      <c r="AK143" s="562"/>
      <c r="AL143" s="565"/>
      <c r="AM143" s="565"/>
      <c r="AN143" s="565"/>
      <c r="AO143" s="568"/>
      <c r="AP143" s="571"/>
      <c r="AQ143" s="343" t="s">
        <v>90</v>
      </c>
      <c r="AR143" s="117" t="s">
        <v>331</v>
      </c>
    </row>
    <row r="144" spans="2:70" ht="113" thickTop="1" thickBot="1" x14ac:dyDescent="0.4">
      <c r="B144" s="870"/>
      <c r="C144" s="559"/>
      <c r="D144" s="745"/>
      <c r="E144" s="577"/>
      <c r="F144" s="646"/>
      <c r="G144" s="663"/>
      <c r="H144" s="666"/>
      <c r="I144" s="589"/>
      <c r="J144" s="589"/>
      <c r="K144" s="592"/>
      <c r="L144" s="589"/>
      <c r="M144" s="595"/>
      <c r="N144" s="598"/>
      <c r="O144" s="601"/>
      <c r="P144" s="595"/>
      <c r="Q144" s="604"/>
      <c r="R144" s="601"/>
      <c r="S144" s="287"/>
      <c r="T144" s="604"/>
      <c r="U144" s="142" t="s">
        <v>180</v>
      </c>
      <c r="V144" s="415" t="s">
        <v>332</v>
      </c>
      <c r="W144" s="331" t="s">
        <v>40</v>
      </c>
      <c r="X144" s="320">
        <f>IF(W144=[6]Listas!$B$46,[6]Listas!$C$46,IF(W144=[6]Listas!$B$47,[6]Listas!$C$47,IF(W144=[6]Listas!$B$48,[6]Listas!$C$48,"")))</f>
        <v>0.25</v>
      </c>
      <c r="Y144" s="321" t="str">
        <f>IF(OR(W144=[6]Listas!$F$53,W144=[6]Listas!$F$54),[6]Listas!$G$53,IF(W144=[6]Listas!$F$55,[6]Listas!$G$55,""))</f>
        <v>Probabilidad</v>
      </c>
      <c r="Z144" s="331" t="s">
        <v>43</v>
      </c>
      <c r="AA144" s="182">
        <f>+IF(Z144=[6]Listas!$E$46,[6]Listas!$F$46,IF(Z144=[6]Listas!$E$47,[6]Listas!$F$47,""))</f>
        <v>0.15</v>
      </c>
      <c r="AB144" s="183">
        <f>IFERROR(X144+AA144,"")</f>
        <v>0.4</v>
      </c>
      <c r="AC144" s="319" t="s">
        <v>57</v>
      </c>
      <c r="AD144" s="319" t="s">
        <v>58</v>
      </c>
      <c r="AE144" s="323" t="s">
        <v>59</v>
      </c>
      <c r="AF144" s="305" t="str">
        <f t="shared" si="19"/>
        <v>Muy baja</v>
      </c>
      <c r="AG144" s="145">
        <f>IF(Y144=[6]Listas!$G$53,AG143-(AG143*AB144),AG143)</f>
        <v>8.6399999999999991E-2</v>
      </c>
      <c r="AH144" s="562"/>
      <c r="AI144" s="305" t="str">
        <f t="shared" si="16"/>
        <v>Menor</v>
      </c>
      <c r="AJ144" s="145">
        <f>IF(Y144=[6]Listas!$G$55,AJ143-(AJ143*AB144),AJ143)</f>
        <v>0.4</v>
      </c>
      <c r="AK144" s="562"/>
      <c r="AL144" s="565"/>
      <c r="AM144" s="565"/>
      <c r="AN144" s="565"/>
      <c r="AO144" s="568"/>
      <c r="AP144" s="571"/>
      <c r="AQ144" s="343" t="s">
        <v>80</v>
      </c>
      <c r="AR144" s="117" t="s">
        <v>333</v>
      </c>
    </row>
    <row r="145" spans="2:70" ht="57" thickTop="1" thickBot="1" x14ac:dyDescent="0.4">
      <c r="B145" s="870"/>
      <c r="C145" s="559"/>
      <c r="D145" s="745"/>
      <c r="E145" s="577"/>
      <c r="F145" s="646"/>
      <c r="G145" s="663"/>
      <c r="H145" s="666"/>
      <c r="I145" s="589"/>
      <c r="J145" s="589"/>
      <c r="K145" s="592"/>
      <c r="L145" s="589"/>
      <c r="M145" s="595"/>
      <c r="N145" s="598"/>
      <c r="O145" s="601"/>
      <c r="P145" s="595"/>
      <c r="Q145" s="604"/>
      <c r="R145" s="601"/>
      <c r="S145" s="287"/>
      <c r="T145" s="604"/>
      <c r="U145" s="142" t="s">
        <v>190</v>
      </c>
      <c r="V145" s="415"/>
      <c r="W145" s="331"/>
      <c r="X145" s="320" t="str">
        <f>IF(W145=[6]Listas!$B$46,[6]Listas!$C$46,IF(W145=[6]Listas!$B$47,[6]Listas!$C$47,IF(W145=[6]Listas!$B$48,[6]Listas!$C$48,"")))</f>
        <v/>
      </c>
      <c r="Y145" s="321" t="str">
        <f>IF(OR(W145=[6]Listas!$F$53,W145=[6]Listas!$F$54),[6]Listas!$G$53,IF(W145=[6]Listas!$F$55,[6]Listas!$G$55,""))</f>
        <v/>
      </c>
      <c r="Z145" s="331"/>
      <c r="AA145" s="182" t="str">
        <f>+IF(Z145=[6]Listas!$E$46,[6]Listas!$F$46,IF(Z145=[6]Listas!$E$47,[6]Listas!$F$47,""))</f>
        <v/>
      </c>
      <c r="AB145" s="183" t="str">
        <f t="shared" ref="AB145:AB151" si="20">IFERROR(X145+AA145,"")</f>
        <v/>
      </c>
      <c r="AC145" s="319"/>
      <c r="AD145" s="319"/>
      <c r="AE145" s="323"/>
      <c r="AF145" s="305" t="str">
        <f t="shared" si="19"/>
        <v>Muy baja</v>
      </c>
      <c r="AG145" s="145">
        <f>IF(Y145=[6]Listas!$G$53,AG144-(AG144*AB145),AG144)</f>
        <v>8.6399999999999991E-2</v>
      </c>
      <c r="AH145" s="562"/>
      <c r="AI145" s="305" t="str">
        <f t="shared" si="16"/>
        <v>Menor</v>
      </c>
      <c r="AJ145" s="145">
        <f>IF(Y145=[6]Listas!$G$55,AJ144-(AJ144*AB145),AJ144)</f>
        <v>0.4</v>
      </c>
      <c r="AK145" s="562"/>
      <c r="AL145" s="565"/>
      <c r="AM145" s="565"/>
      <c r="AN145" s="565"/>
      <c r="AO145" s="568"/>
      <c r="AP145" s="571"/>
      <c r="AQ145" s="344" t="s">
        <v>90</v>
      </c>
      <c r="AR145" s="184" t="s">
        <v>334</v>
      </c>
    </row>
    <row r="146" spans="2:70" ht="15" hidden="1" customHeight="1" x14ac:dyDescent="0.35">
      <c r="B146" s="870"/>
      <c r="C146" s="280"/>
      <c r="D146" s="745"/>
      <c r="E146" s="577"/>
      <c r="F146" s="646"/>
      <c r="G146" s="663"/>
      <c r="H146" s="666"/>
      <c r="I146" s="589"/>
      <c r="J146" s="589"/>
      <c r="K146" s="592"/>
      <c r="L146" s="589"/>
      <c r="M146" s="595"/>
      <c r="N146" s="598"/>
      <c r="O146" s="601"/>
      <c r="P146" s="595"/>
      <c r="Q146" s="604"/>
      <c r="R146" s="601"/>
      <c r="S146" s="287"/>
      <c r="T146" s="604"/>
      <c r="U146" s="142" t="s">
        <v>198</v>
      </c>
      <c r="V146" s="415"/>
      <c r="W146" s="331"/>
      <c r="X146" s="320" t="str">
        <f>IF(W146=[6]Listas!$B$46,[6]Listas!$C$46,IF(W146=[6]Listas!$B$47,[6]Listas!$C$47,IF(W146=[6]Listas!$B$48,[6]Listas!$C$48,"")))</f>
        <v/>
      </c>
      <c r="Y146" s="321" t="str">
        <f>IF(OR(W146=[6]Listas!$F$53,W146=[6]Listas!$F$54),[6]Listas!$G$53,IF(W146=[6]Listas!$F$55,[6]Listas!$G$55,""))</f>
        <v/>
      </c>
      <c r="Z146" s="331"/>
      <c r="AA146" s="182" t="str">
        <f>+IF(Z146=[6]Listas!$E$46,[6]Listas!$F$46,IF(Z146=[6]Listas!$E$47,[6]Listas!$F$47,""))</f>
        <v/>
      </c>
      <c r="AB146" s="183" t="str">
        <f t="shared" si="20"/>
        <v/>
      </c>
      <c r="AC146" s="319"/>
      <c r="AD146" s="319"/>
      <c r="AE146" s="323"/>
      <c r="AF146" s="305" t="str">
        <f t="shared" si="19"/>
        <v>Muy baja</v>
      </c>
      <c r="AG146" s="145">
        <f>IF(Y146=[6]Listas!$G$53,AG145-(AG145*AB146),AG145)</f>
        <v>8.6399999999999991E-2</v>
      </c>
      <c r="AH146" s="562"/>
      <c r="AI146" s="305" t="str">
        <f t="shared" si="16"/>
        <v>Menor</v>
      </c>
      <c r="AJ146" s="145">
        <f>IF(Y146=[6]Listas!$G$55,AJ145-(AJ145*AB146),AJ145)</f>
        <v>0.4</v>
      </c>
      <c r="AK146" s="562"/>
      <c r="AL146" s="565"/>
      <c r="AM146" s="565"/>
      <c r="AN146" s="565"/>
      <c r="AO146" s="568"/>
      <c r="AP146" s="571"/>
      <c r="AQ146" s="343"/>
      <c r="AR146" s="191"/>
    </row>
    <row r="147" spans="2:70" ht="15.75" hidden="1" customHeight="1" thickTop="1" thickBot="1" x14ac:dyDescent="0.4">
      <c r="B147" s="870"/>
      <c r="C147" s="280"/>
      <c r="D147" s="745"/>
      <c r="E147" s="577"/>
      <c r="F147" s="646"/>
      <c r="G147" s="663"/>
      <c r="H147" s="666"/>
      <c r="I147" s="589"/>
      <c r="J147" s="589"/>
      <c r="K147" s="592"/>
      <c r="L147" s="589"/>
      <c r="M147" s="595"/>
      <c r="N147" s="598"/>
      <c r="O147" s="601"/>
      <c r="P147" s="595"/>
      <c r="Q147" s="604"/>
      <c r="R147" s="601"/>
      <c r="S147" s="288"/>
      <c r="T147" s="604"/>
      <c r="U147" s="142" t="s">
        <v>208</v>
      </c>
      <c r="V147" s="415"/>
      <c r="W147" s="331"/>
      <c r="X147" s="320" t="str">
        <f>IF(W147=[6]Listas!$B$46,[6]Listas!$C$46,IF(W147=[6]Listas!$B$47,[6]Listas!$C$47,IF(W147=[6]Listas!$B$48,[6]Listas!$C$48,"")))</f>
        <v/>
      </c>
      <c r="Y147" s="321" t="str">
        <f>IF(OR(W147=[6]Listas!$F$53,W147=[6]Listas!$F$54),[6]Listas!$G$53,IF(W147=[6]Listas!$F$55,[6]Listas!$G$55,""))</f>
        <v/>
      </c>
      <c r="Z147" s="331"/>
      <c r="AA147" s="182" t="str">
        <f>+IF(Z147=[6]Listas!$E$46,[6]Listas!$F$46,IF(Z147=[6]Listas!$E$47,[6]Listas!$F$47,""))</f>
        <v/>
      </c>
      <c r="AB147" s="183" t="str">
        <f t="shared" si="20"/>
        <v/>
      </c>
      <c r="AC147" s="319"/>
      <c r="AD147" s="319"/>
      <c r="AE147" s="323"/>
      <c r="AF147" s="305" t="str">
        <f t="shared" si="19"/>
        <v>Muy baja</v>
      </c>
      <c r="AG147" s="145">
        <f>IF(Y147=[6]Listas!$G$53,AG146-(AG146*AB147),AG146)</f>
        <v>8.6399999999999991E-2</v>
      </c>
      <c r="AH147" s="562"/>
      <c r="AI147" s="305" t="str">
        <f t="shared" si="16"/>
        <v>Menor</v>
      </c>
      <c r="AJ147" s="145">
        <f>IF(Y147=[6]Listas!$G$55,AJ146-(AJ146*AB147),AJ146)</f>
        <v>0.4</v>
      </c>
      <c r="AK147" s="562"/>
      <c r="AL147" s="565"/>
      <c r="AM147" s="565"/>
      <c r="AN147" s="565"/>
      <c r="AO147" s="568"/>
      <c r="AP147" s="571"/>
      <c r="AQ147" s="344"/>
      <c r="AR147" s="191"/>
    </row>
    <row r="148" spans="2:70" ht="15" hidden="1" customHeight="1" thickTop="1" thickBot="1" x14ac:dyDescent="0.4">
      <c r="B148" s="870"/>
      <c r="C148" s="280"/>
      <c r="D148" s="745"/>
      <c r="E148" s="577"/>
      <c r="F148" s="646"/>
      <c r="G148" s="663"/>
      <c r="H148" s="666"/>
      <c r="I148" s="589"/>
      <c r="J148" s="589"/>
      <c r="K148" s="592"/>
      <c r="L148" s="589"/>
      <c r="M148" s="595"/>
      <c r="N148" s="598"/>
      <c r="O148" s="601"/>
      <c r="P148" s="595"/>
      <c r="Q148" s="604"/>
      <c r="R148" s="601"/>
      <c r="S148" s="289"/>
      <c r="T148" s="604"/>
      <c r="U148" s="142" t="s">
        <v>215</v>
      </c>
      <c r="V148" s="418"/>
      <c r="W148" s="331"/>
      <c r="X148" s="320" t="str">
        <f>IF(W148=[6]Listas!$B$46,[6]Listas!$C$46,IF(W148=[6]Listas!$B$47,[6]Listas!$C$47,IF(W148=[6]Listas!$B$48,[6]Listas!$C$48,"")))</f>
        <v/>
      </c>
      <c r="Y148" s="321" t="str">
        <f>IF(OR(W148=[6]Listas!$F$53,W148=[6]Listas!$F$54),[6]Listas!$G$53,IF(W148=[6]Listas!$F$55,[6]Listas!$G$55,""))</f>
        <v/>
      </c>
      <c r="Z148" s="331"/>
      <c r="AA148" s="182" t="str">
        <f>+IF(Z148=[6]Listas!$E$46,[6]Listas!$F$46,IF(Z148=[6]Listas!$E$47,[6]Listas!$F$47,""))</f>
        <v/>
      </c>
      <c r="AB148" s="183" t="str">
        <f t="shared" si="20"/>
        <v/>
      </c>
      <c r="AC148" s="319"/>
      <c r="AD148" s="322"/>
      <c r="AE148" s="323"/>
      <c r="AF148" s="305" t="str">
        <f t="shared" si="19"/>
        <v>Muy baja</v>
      </c>
      <c r="AG148" s="145">
        <f>IF(Y148=[6]Listas!$G$53,AG147-(AG147*AB148),AG147)</f>
        <v>8.6399999999999991E-2</v>
      </c>
      <c r="AH148" s="562"/>
      <c r="AI148" s="305" t="str">
        <f t="shared" si="16"/>
        <v>Menor</v>
      </c>
      <c r="AJ148" s="145">
        <f>IF(Y148=[6]Listas!$G$55,AJ147-(AJ147*AB148),AJ147)</f>
        <v>0.4</v>
      </c>
      <c r="AK148" s="562"/>
      <c r="AL148" s="565"/>
      <c r="AM148" s="565"/>
      <c r="AN148" s="565"/>
      <c r="AO148" s="568"/>
      <c r="AP148" s="571"/>
      <c r="AQ148" s="345"/>
      <c r="AR148" s="191"/>
    </row>
    <row r="149" spans="2:70" ht="15" hidden="1" customHeight="1" thickTop="1" thickBot="1" x14ac:dyDescent="0.4">
      <c r="B149" s="870"/>
      <c r="C149" s="280"/>
      <c r="D149" s="745"/>
      <c r="E149" s="577"/>
      <c r="F149" s="646"/>
      <c r="G149" s="663"/>
      <c r="H149" s="666"/>
      <c r="I149" s="589"/>
      <c r="J149" s="589"/>
      <c r="K149" s="592"/>
      <c r="L149" s="589"/>
      <c r="M149" s="595"/>
      <c r="N149" s="598"/>
      <c r="O149" s="601"/>
      <c r="P149" s="595"/>
      <c r="Q149" s="604"/>
      <c r="R149" s="601"/>
      <c r="S149" s="289"/>
      <c r="T149" s="604"/>
      <c r="U149" s="142" t="s">
        <v>220</v>
      </c>
      <c r="V149" s="418"/>
      <c r="W149" s="331"/>
      <c r="X149" s="320" t="str">
        <f>IF(W149=[6]Listas!$B$46,[6]Listas!$C$46,IF(W149=[6]Listas!$B$47,[6]Listas!$C$47,IF(W149=[6]Listas!$B$48,[6]Listas!$C$48,"")))</f>
        <v/>
      </c>
      <c r="Y149" s="321" t="str">
        <f>IF(OR(W149=[6]Listas!$F$53,W149=[6]Listas!$F$54),[6]Listas!$G$53,IF(W149=[6]Listas!$F$55,[6]Listas!$G$55,""))</f>
        <v/>
      </c>
      <c r="Z149" s="331"/>
      <c r="AA149" s="182" t="str">
        <f>+IF(Z149=[6]Listas!$E$46,[6]Listas!$F$46,IF(Z149=[6]Listas!$E$47,[6]Listas!$F$47,""))</f>
        <v/>
      </c>
      <c r="AB149" s="183" t="str">
        <f t="shared" si="20"/>
        <v/>
      </c>
      <c r="AC149" s="319"/>
      <c r="AD149" s="322"/>
      <c r="AE149" s="323"/>
      <c r="AF149" s="305" t="str">
        <f t="shared" si="19"/>
        <v>Muy baja</v>
      </c>
      <c r="AG149" s="145">
        <f>IF(Y149=[6]Listas!$G$53,AG148-(AG148*AB149),AG148)</f>
        <v>8.6399999999999991E-2</v>
      </c>
      <c r="AH149" s="562"/>
      <c r="AI149" s="305" t="str">
        <f t="shared" si="16"/>
        <v>Menor</v>
      </c>
      <c r="AJ149" s="145">
        <f>IF(Y149=[6]Listas!$G$55,AJ148-(AJ148*AB149),AJ148)</f>
        <v>0.4</v>
      </c>
      <c r="AK149" s="562"/>
      <c r="AL149" s="565"/>
      <c r="AM149" s="565"/>
      <c r="AN149" s="565"/>
      <c r="AO149" s="568"/>
      <c r="AP149" s="571"/>
      <c r="AQ149" s="343"/>
      <c r="AR149" s="191"/>
    </row>
    <row r="150" spans="2:70" ht="15" hidden="1" customHeight="1" thickTop="1" thickBot="1" x14ac:dyDescent="0.4">
      <c r="B150" s="870"/>
      <c r="C150" s="280"/>
      <c r="D150" s="745"/>
      <c r="E150" s="577"/>
      <c r="F150" s="646"/>
      <c r="G150" s="663"/>
      <c r="H150" s="666"/>
      <c r="I150" s="589"/>
      <c r="J150" s="589"/>
      <c r="K150" s="592"/>
      <c r="L150" s="589"/>
      <c r="M150" s="595"/>
      <c r="N150" s="598"/>
      <c r="O150" s="601"/>
      <c r="P150" s="595"/>
      <c r="Q150" s="604"/>
      <c r="R150" s="601"/>
      <c r="S150" s="289"/>
      <c r="T150" s="604"/>
      <c r="U150" s="142" t="s">
        <v>223</v>
      </c>
      <c r="V150" s="418"/>
      <c r="W150" s="331"/>
      <c r="X150" s="320" t="str">
        <f>IF(W150=[6]Listas!$B$46,[6]Listas!$C$46,IF(W150=[6]Listas!$B$47,[6]Listas!$C$47,IF(W150=[6]Listas!$B$48,[6]Listas!$C$48,"")))</f>
        <v/>
      </c>
      <c r="Y150" s="321" t="str">
        <f>IF(OR(W150=[6]Listas!$F$53,W150=[6]Listas!$F$54),[6]Listas!$G$53,IF(W150=[6]Listas!$F$55,[6]Listas!$G$55,""))</f>
        <v/>
      </c>
      <c r="Z150" s="331"/>
      <c r="AA150" s="182" t="str">
        <f>+IF(Z150=[6]Listas!$E$46,[6]Listas!$F$46,IF(Z150=[6]Listas!$E$47,[6]Listas!$F$47,""))</f>
        <v/>
      </c>
      <c r="AB150" s="183" t="str">
        <f t="shared" si="20"/>
        <v/>
      </c>
      <c r="AC150" s="319"/>
      <c r="AD150" s="322"/>
      <c r="AE150" s="323"/>
      <c r="AF150" s="305" t="str">
        <f t="shared" si="19"/>
        <v>Muy baja</v>
      </c>
      <c r="AG150" s="145">
        <f>IF(Y150=[6]Listas!$G$53,AG149-(AG149*AB150),AG149)</f>
        <v>8.6399999999999991E-2</v>
      </c>
      <c r="AH150" s="562"/>
      <c r="AI150" s="305" t="str">
        <f t="shared" si="16"/>
        <v>Menor</v>
      </c>
      <c r="AJ150" s="145">
        <f>IF(Y150=[6]Listas!$G$55,AJ149-(AJ149*AB150),AJ149)</f>
        <v>0.4</v>
      </c>
      <c r="AK150" s="562"/>
      <c r="AL150" s="565"/>
      <c r="AM150" s="565"/>
      <c r="AN150" s="565"/>
      <c r="AO150" s="568"/>
      <c r="AP150" s="571"/>
      <c r="AQ150" s="344"/>
      <c r="AR150" s="191"/>
    </row>
    <row r="151" spans="2:70" ht="15.75" hidden="1" customHeight="1" thickTop="1" thickBot="1" x14ac:dyDescent="0.4">
      <c r="B151" s="870"/>
      <c r="C151" s="280"/>
      <c r="D151" s="746"/>
      <c r="E151" s="578"/>
      <c r="F151" s="647"/>
      <c r="G151" s="664"/>
      <c r="H151" s="667"/>
      <c r="I151" s="590"/>
      <c r="J151" s="590"/>
      <c r="K151" s="593"/>
      <c r="L151" s="590"/>
      <c r="M151" s="596"/>
      <c r="N151" s="599"/>
      <c r="O151" s="602"/>
      <c r="P151" s="596"/>
      <c r="Q151" s="605"/>
      <c r="R151" s="602"/>
      <c r="S151" s="293"/>
      <c r="T151" s="605"/>
      <c r="U151" s="202" t="s">
        <v>224</v>
      </c>
      <c r="V151" s="416"/>
      <c r="W151" s="335"/>
      <c r="X151" s="336" t="str">
        <f>IF(W151=[6]Listas!$B$46,[6]Listas!$C$46,IF(W151=[6]Listas!$B$47,[6]Listas!$C$47,IF(W151=[6]Listas!$B$48,[6]Listas!$C$48,"")))</f>
        <v/>
      </c>
      <c r="Y151" s="337" t="str">
        <f>IF(OR(W151=[6]Listas!$F$53,W151=[6]Listas!$F$54),[6]Listas!$G$53,IF(W151=[6]Listas!$F$55,[6]Listas!$G$55,""))</f>
        <v/>
      </c>
      <c r="Z151" s="335"/>
      <c r="AA151" s="186" t="str">
        <f>+IF(Z151=[6]Listas!$E$46,[6]Listas!$F$46,IF(Z151=[6]Listas!$E$47,[6]Listas!$F$47,""))</f>
        <v/>
      </c>
      <c r="AB151" s="187" t="str">
        <f t="shared" si="20"/>
        <v/>
      </c>
      <c r="AC151" s="338"/>
      <c r="AD151" s="339"/>
      <c r="AE151" s="340"/>
      <c r="AF151" s="311" t="str">
        <f t="shared" si="19"/>
        <v>Muy baja</v>
      </c>
      <c r="AG151" s="179">
        <f>IF(Y151=[6]Listas!$G$53,AG150-(AG150*AB151),AG150)</f>
        <v>8.6399999999999991E-2</v>
      </c>
      <c r="AH151" s="563"/>
      <c r="AI151" s="311" t="str">
        <f t="shared" si="16"/>
        <v>Menor</v>
      </c>
      <c r="AJ151" s="179">
        <f>IF(Y151=[6]Listas!$G$55,AJ150-(AJ150*AB151),AJ150)</f>
        <v>0.4</v>
      </c>
      <c r="AK151" s="563"/>
      <c r="AL151" s="566"/>
      <c r="AM151" s="566"/>
      <c r="AN151" s="566"/>
      <c r="AO151" s="569"/>
      <c r="AP151" s="572"/>
      <c r="AQ151" s="346"/>
      <c r="AR151" s="192"/>
    </row>
    <row r="152" spans="2:70" ht="126" customHeight="1" thickTop="1" thickBot="1" x14ac:dyDescent="0.4">
      <c r="B152" s="870"/>
      <c r="C152" s="559" t="s">
        <v>96</v>
      </c>
      <c r="D152" s="760" t="s">
        <v>335</v>
      </c>
      <c r="E152" s="576" t="s">
        <v>4</v>
      </c>
      <c r="F152" s="677" t="s">
        <v>336</v>
      </c>
      <c r="G152" s="685" t="s">
        <v>337</v>
      </c>
      <c r="H152" s="688" t="s">
        <v>338</v>
      </c>
      <c r="I152" s="588" t="s">
        <v>20</v>
      </c>
      <c r="J152" s="588" t="s">
        <v>22</v>
      </c>
      <c r="K152" s="826" t="s">
        <v>339</v>
      </c>
      <c r="L152" s="588" t="s">
        <v>186</v>
      </c>
      <c r="M152" s="594" t="s">
        <v>214</v>
      </c>
      <c r="N152" s="597" t="str">
        <f>+IF(M152="","",IF(M152=$BO$15,$BN$15,IF(M152=$BO$16,$BN$16,IF(M152=$BO$17,$BN$17,IF(M152=$BO$18,$BN$18,IF(M152=$BO$19,$BN$19))))))</f>
        <v>Media</v>
      </c>
      <c r="O152" s="600">
        <f>+IF(M152="","",IF(M152=$BO$15,$BR$15,IF(M152=$BO$16,$BR$16,IF(M152=$BO$17,$BR$17,IF(M152=$BO$18,$BR$18,IF(M152=$BO$19,$BR$19))))))</f>
        <v>0.6</v>
      </c>
      <c r="P152" s="594" t="s">
        <v>212</v>
      </c>
      <c r="Q152" s="603" t="str">
        <f>+IF(P152="","",IF(P152='[7]Mapa de Calor inherente'!$AF$6,'[7]Mapa de Calor inherente'!$AD$6,IF(P152='[7]Mapa de Calor inherente'!$AF$7,'[7]Mapa de Calor inherente'!$AD$7,IF(P152='[7]Mapa de Calor inherente'!$AF$8,'[7]Mapa de Calor inherente'!$AD$8,IF(P152='[7]Mapa de Calor inherente'!$AF$9,'[7]Mapa de Calor inherente'!$AD$9,IF(P152='[7]Mapa de Calor inherente'!$AF$10,'[7]Mapa de Calor inherente'!$AD$10,IF(P152='[7]Mapa de Calor inherente'!$AG$6,'[7]Mapa de Calor inherente'!$AD$6,IF(P152='[7]Mapa de Calor inherente'!$AG$7,'[7]Mapa de Calor inherente'!$AD$7,IF(P152='[7]Mapa de Calor inherente'!$AG$8,'[7]Mapa de Calor inherente'!$AD$8,IF(P152='[7]Mapa de Calor inherente'!$AG$9,'[7]Mapa de Calor inherente'!$AD$9,IF(P152='[7]Mapa de Calor inherente'!$AG$10,'[7]Mapa de Calor inherente'!$AD$10,IF(P152='[7]Mapa de Calor inherente'!$AD$8,'[7]Mapa de Calor inherente'!$AD$8,IF(P152='[7]Mapa de Calor inherente'!$AD$9,'[7]Mapa de Calor inherente'!$AD$9,IF(P152='[7]Mapa de Calor inherente'!$AD$10,'[7]Mapa de Calor inherente'!$AD$10))))))))))))))</f>
        <v>Moderado</v>
      </c>
      <c r="R152" s="600">
        <f>+IF(P152="","",IF(P152='[7]Mapa de Calor inherente'!$AF$6,'[7]Mapa de Calor inherente'!$AE$6,IF(P152='[7]Mapa de Calor inherente'!$AF$7,'[7]Mapa de Calor inherente'!$AE$7,IF(P152='[7]Mapa de Calor inherente'!$AF$8,'[7]Mapa de Calor inherente'!$AE$8,IF(P152='[7]Mapa de Calor inherente'!$AF$9,'[7]Mapa de Calor inherente'!$AE$9,IF(P152='[7]Mapa de Calor inherente'!$AF$10,'[7]Mapa de Calor inherente'!$AE$10,IF(P152='[7]Mapa de Calor inherente'!$AG$6,'[7]Mapa de Calor inherente'!$AE$6,IF(P152='[7]Mapa de Calor inherente'!$AG$7,'[7]Mapa de Calor inherente'!$AE$7,IF(P152='[7]Mapa de Calor inherente'!$AG$8,'[7]Mapa de Calor inherente'!$AE$8,IF(P152='[7]Mapa de Calor inherente'!$AG$9,'[7]Mapa de Calor inherente'!$AE$9,IF(P152='[7]Mapa de Calor inherente'!$AG$10,'[7]Mapa de Calor inherente'!$AE$10,IF(P152='[7]Mapa de Calor inherente'!$AD$8,'[7]Mapa de Calor inherente'!$AE$8,IF(P152='[7]Mapa de Calor inherente'!$AD$9,'[7]Mapa de Calor inherente'!$AE$9,IF(P152='[7]Mapa de Calor inherente'!$AD$10,'[7]Mapa de Calor inherente'!$AE$10))))))))))))))</f>
        <v>0.6</v>
      </c>
      <c r="S152" s="282">
        <f>IF(O152="","",IF(R152="","",(O152*R152)))</f>
        <v>0.36</v>
      </c>
      <c r="T152" s="603" t="str">
        <f>+IF(N152=$BB$17,IF(Q152=$BC$16,$BC$17,IF(Q152=$BD$16,$BD$17,IF(Q152=$BE$16,$BE$17,IF(Q152=$BF$16,$BF$17,IF(Q152=$BG$16,$BG$17))))),IF(N152=$BB$18,IF(Q152=$BC$16,$BC$18,IF(Q152=$BD$16,$BD$18,IF(Q152=$BE$16,$BE$18,IF(Q152=$BF$16,$BF$18,IF(Q152=$BG$16,$BG$18))))),IF(N152=$BB$19,IF(Q152=$BC$16,$BC$19,IF(Q152=$BD$16,$BD$19,IF(Q152=$BE$16,$BE$19,IF(Q152=$BF$16,$BF$19,IF(Q152=$BG$16,$BG$19))))),IF(N152=$BB$20,IF(Q152=$BC$16,$BC$20,IF(Q152=$BD$16,$BD$20,IF(Q152=$BE$16,$BE$20,IF(Q152=$BF$16,$BF$20,IF(Q152=$BG$16,$BG$20))))),IF(N152=$BB$21,IF(Q152=$BC$16,$BC$21,IF(Q152=$BD$16,$BD$21,IF(Q152=$BE$16,$BE$21,IF(Q152=$BF$16,$BF$21,IF(Q152=$BG$16,$BG$21))))),"")))))</f>
        <v>Moderado</v>
      </c>
      <c r="U152" s="139" t="s">
        <v>171</v>
      </c>
      <c r="V152" s="427" t="s">
        <v>340</v>
      </c>
      <c r="W152" s="295" t="s">
        <v>44</v>
      </c>
      <c r="X152" s="296">
        <f>IF(W152=[7]Listas!$B$46,[7]Listas!$C$46,IF(W152=[7]Listas!$B$47,[7]Listas!$C$47,IF(W152=[7]Listas!$B$48,[7]Listas!$C$48,"")))</f>
        <v>0.1</v>
      </c>
      <c r="Y152" s="297" t="str">
        <f>IF(OR(W152=[7]Listas!$F$53,W152=[7]Listas!$F$54),[7]Listas!$G$53,IF(W152=[7]Listas!$F$55,[7]Listas!$G$55,""))</f>
        <v>Impacto</v>
      </c>
      <c r="Z152" s="295" t="s">
        <v>43</v>
      </c>
      <c r="AA152" s="296">
        <f>+IF(Z152=[7]Listas!$E$46,[7]Listas!$F$46,IF(Z152=[7]Listas!$E$47,[7]Listas!$F$47,""))</f>
        <v>0.15</v>
      </c>
      <c r="AB152" s="140">
        <f>IFERROR(X152+AA152,"")</f>
        <v>0.25</v>
      </c>
      <c r="AC152" s="291" t="s">
        <v>57</v>
      </c>
      <c r="AD152" s="295" t="s">
        <v>58</v>
      </c>
      <c r="AE152" s="298" t="s">
        <v>59</v>
      </c>
      <c r="AF152" s="299" t="str">
        <f t="shared" si="19"/>
        <v>Media</v>
      </c>
      <c r="AG152" s="141">
        <f>IF(Y152=[7]Listas!$G$53,O152-(O152*AB152),O152)</f>
        <v>0.6</v>
      </c>
      <c r="AH152" s="561">
        <f>+IF(AG161="","",AG161)</f>
        <v>0.12959999999999999</v>
      </c>
      <c r="AI152" s="299" t="str">
        <f>IF(AJ152="","",IF(AJ152&lt;=20%,"Leve",IF(AJ152&lt;=40%,"Menor",IF(AJ152&lt;=60%,"Moderado",IF(AJ152&lt;=80%,"Mayor","Catastrófico")))))</f>
        <v>Moderado</v>
      </c>
      <c r="AJ152" s="141">
        <f>IF(Y152=[7]Listas!$G$55,R152-(R152*AB152),R152)</f>
        <v>0.44999999999999996</v>
      </c>
      <c r="AK152" s="561">
        <f>+IF(AJ161="","",AJ161)</f>
        <v>0.44999999999999996</v>
      </c>
      <c r="AL152" s="564" t="str">
        <f>+IF(AH152=0,"",IF(AH152&lt;=$BA$21,$BB$21,IF(AH152&lt;=$BA$20,$BB$20,IF(AH152&lt;=$BA$19,$BB$19,IF(AH152&lt;=$BA$18,$BB$18,IF(AH152&lt;=$BA$17,$BB$17,""))))))</f>
        <v>Muy Baja</v>
      </c>
      <c r="AM152" s="564" t="str">
        <f>+IF(AK152=0,"",IF(AK152&lt;=$BC$15,$BC$16,IF(AK152&lt;=$BD$15,$BD$16,IF(AK152&lt;=$BE$15,$BE$16,IF(AK152&lt;=$BF$15,$BF$16,IF(AK152&lt;=$BG$15,$BG$16,""))))))</f>
        <v>Moderado</v>
      </c>
      <c r="AN152" s="564" t="str">
        <f>IF(AL152=$BB$17,IF(AM152=$BC$16,$BC$17,IF(AM152=$BD$16,$BD$17,IF(AM152=$BE$16,$BE$17,IF(AM152=$BF$16,$BF$17,IF(AM152=$BG$16,$BG$17))))),IF(AL152=$BB$18,IF(AM152=$BC$16,$BC$18,IF(AM152=$BD$16,$BD$18,IF(AM152=$BE$16,$BE$18,IF(AM152=$BF$16,$BF$18,IF(AM152=$BG$16,$BG$18))))),IF(AL152=$BB$19,IF(AM152=$BC$16,$BC$19,IF(AM152=$BD$16,$BD$19,IF(AM152=$BE$16,$BE$19,IF(AM152=$BF$16,$BF$19,IF(AM152=$BG$16,$BG$19))))),IF(AL152=$BB$20,IF(AM152=$BC$16,$BC$20,IF(AM152=$BD$16,$BD$20,IF(AM152=$BE$16,$BE$20,IF(AM152=$BF$16,$BF$20,IF(AM152=$BG$16,$BG$20))))),IF(AL152=$BB$21,IF(AM152=$BC$16,$BC$21,IF(AM152=$BD$16,$BD$21,IF(AM152=$BE$16,$BE$21,IF(AM152=$BF$16,$BF$21,IF(AM152=$BG$16,$BG$21))))),"")))))</f>
        <v>Moderado</v>
      </c>
      <c r="AO152" s="567" t="str">
        <f>IF(AP152="","",IF(AP152=[7]Listas!$F$61,[7]Listas!$G$61,IF(AP152=[7]Listas!$F$63,[7]Listas!$G$63,IF(AP152=[7]Listas!$F$64,[7]Listas!$G$64))))</f>
        <v>Requiere Plan de Acción</v>
      </c>
      <c r="AP152" s="630" t="str">
        <f>IF(AN152="","",IF(OR(AN152=[7]Listas!$E$61,AN152=[7]Listas!$E$62),[7]Listas!$F$61,IF(AN152=[7]Listas!$E$63,[7]Listas!$F$63,IF(AN152=[7]Listas!$E$64,[7]Listas!$F$64))))</f>
        <v>Aceptar o reducir el riesgo</v>
      </c>
      <c r="AQ152" s="300" t="s">
        <v>80</v>
      </c>
      <c r="AR152" s="119" t="s">
        <v>341</v>
      </c>
    </row>
    <row r="153" spans="2:70" ht="177" customHeight="1" thickTop="1" thickBot="1" x14ac:dyDescent="0.35">
      <c r="B153" s="870"/>
      <c r="C153" s="559"/>
      <c r="D153" s="761"/>
      <c r="E153" s="577"/>
      <c r="F153" s="678"/>
      <c r="G153" s="686"/>
      <c r="H153" s="689"/>
      <c r="I153" s="589"/>
      <c r="J153" s="589"/>
      <c r="K153" s="827"/>
      <c r="L153" s="589"/>
      <c r="M153" s="595"/>
      <c r="N153" s="598"/>
      <c r="O153" s="601"/>
      <c r="P153" s="595"/>
      <c r="Q153" s="604"/>
      <c r="R153" s="601"/>
      <c r="S153" s="283"/>
      <c r="T153" s="604"/>
      <c r="U153" s="142" t="s">
        <v>174</v>
      </c>
      <c r="V153" s="431" t="s">
        <v>342</v>
      </c>
      <c r="W153" s="301" t="s">
        <v>40</v>
      </c>
      <c r="X153" s="302">
        <f>IF(W153=[7]Listas!$B$46,[7]Listas!$C$46,IF(W153=[7]Listas!$B$47,[7]Listas!$C$47,IF(W153=[7]Listas!$B$48,[7]Listas!$C$48,"")))</f>
        <v>0.25</v>
      </c>
      <c r="Y153" s="303" t="str">
        <f>IF(OR(W153=[7]Listas!$F$53,W153=[7]Listas!$F$54),[7]Listas!$G$53,IF(W153=[7]Listas!$F$55,[7]Listas!$G$55,""))</f>
        <v>Probabilidad</v>
      </c>
      <c r="Z153" s="301" t="s">
        <v>43</v>
      </c>
      <c r="AA153" s="143">
        <f>+IF(Z153=[7]Listas!$E$46,[7]Listas!$F$46,IF(Z153=[7]Listas!$E$47,[7]Listas!$F$47,""))</f>
        <v>0.15</v>
      </c>
      <c r="AB153" s="144">
        <f>IFERROR(X153+AA153,"")</f>
        <v>0.4</v>
      </c>
      <c r="AC153" s="301" t="s">
        <v>57</v>
      </c>
      <c r="AD153" s="301" t="s">
        <v>58</v>
      </c>
      <c r="AE153" s="304" t="s">
        <v>59</v>
      </c>
      <c r="AF153" s="305" t="str">
        <f t="shared" si="19"/>
        <v>Baja</v>
      </c>
      <c r="AG153" s="145">
        <f>IF(Y153=[7]Listas!$G$53,AG152-(AG152*AB153),AG152)</f>
        <v>0.36</v>
      </c>
      <c r="AH153" s="562"/>
      <c r="AI153" s="305" t="str">
        <f t="shared" ref="AI153:AI181" si="21">IF(AJ153="","",IF(AJ153&lt;=20%,"Leve",IF(AJ153&lt;=40%,"Menor",IF(AJ153&lt;=60%,"Moderado",IF(AJ153&lt;=80%,"Mayor","Catastrófico")))))</f>
        <v>Moderado</v>
      </c>
      <c r="AJ153" s="145">
        <f>IF(Y153=[7]Listas!$G$55,AJ152-(AJ152*AB153),AJ152)</f>
        <v>0.44999999999999996</v>
      </c>
      <c r="AK153" s="562"/>
      <c r="AL153" s="565"/>
      <c r="AM153" s="565"/>
      <c r="AN153" s="565"/>
      <c r="AO153" s="568"/>
      <c r="AP153" s="631"/>
      <c r="AQ153" s="306" t="s">
        <v>80</v>
      </c>
      <c r="AR153" s="201" t="s">
        <v>343</v>
      </c>
      <c r="AZ153" s="633" t="s">
        <v>177</v>
      </c>
      <c r="BA153" s="634"/>
      <c r="BB153" s="634"/>
      <c r="BC153" s="634"/>
      <c r="BD153" s="634"/>
      <c r="BE153" s="634"/>
      <c r="BF153" s="634"/>
      <c r="BG153" s="635"/>
      <c r="BI153" s="636" t="s">
        <v>178</v>
      </c>
      <c r="BJ153" s="637"/>
      <c r="BK153" s="637"/>
      <c r="BL153" s="638"/>
      <c r="BN153" s="639" t="s">
        <v>179</v>
      </c>
      <c r="BO153" s="640"/>
      <c r="BP153" s="641"/>
      <c r="BQ153" s="641"/>
      <c r="BR153" s="642"/>
    </row>
    <row r="154" spans="2:70" ht="134.5" customHeight="1" thickTop="1" thickBot="1" x14ac:dyDescent="0.35">
      <c r="B154" s="870"/>
      <c r="C154" s="559"/>
      <c r="D154" s="761"/>
      <c r="E154" s="577"/>
      <c r="F154" s="678"/>
      <c r="G154" s="686"/>
      <c r="H154" s="689"/>
      <c r="I154" s="589"/>
      <c r="J154" s="589"/>
      <c r="K154" s="827"/>
      <c r="L154" s="589"/>
      <c r="M154" s="595"/>
      <c r="N154" s="598"/>
      <c r="O154" s="601"/>
      <c r="P154" s="595"/>
      <c r="Q154" s="604"/>
      <c r="R154" s="601"/>
      <c r="S154" s="283"/>
      <c r="T154" s="604"/>
      <c r="U154" s="142" t="s">
        <v>180</v>
      </c>
      <c r="V154" s="432" t="s">
        <v>344</v>
      </c>
      <c r="W154" s="301" t="s">
        <v>40</v>
      </c>
      <c r="X154" s="302">
        <f>IF(W154=[7]Listas!$B$46,[7]Listas!$C$46,IF(W154=[7]Listas!$B$47,[7]Listas!$C$47,IF(W154=[7]Listas!$B$48,[7]Listas!$C$48,"")))</f>
        <v>0.25</v>
      </c>
      <c r="Y154" s="303" t="str">
        <f>IF(OR(W154=[7]Listas!$F$53,W154=[7]Listas!$F$54),[7]Listas!$G$53,IF(W154=[7]Listas!$F$55,[7]Listas!$G$55,""))</f>
        <v>Probabilidad</v>
      </c>
      <c r="Z154" s="301" t="s">
        <v>43</v>
      </c>
      <c r="AA154" s="143">
        <f>+IF(Z154=[7]Listas!$E$46,[7]Listas!$F$46,IF(Z154=[7]Listas!$E$47,[7]Listas!$F$47,""))</f>
        <v>0.15</v>
      </c>
      <c r="AB154" s="144">
        <f>IFERROR(X154+AA154,"")</f>
        <v>0.4</v>
      </c>
      <c r="AC154" s="301" t="s">
        <v>57</v>
      </c>
      <c r="AD154" s="301" t="s">
        <v>58</v>
      </c>
      <c r="AE154" s="304" t="s">
        <v>59</v>
      </c>
      <c r="AF154" s="305" t="str">
        <f t="shared" si="19"/>
        <v>Baja</v>
      </c>
      <c r="AG154" s="145">
        <f>IF(Y154=[7]Listas!$G$53,AG153-(AG153*AB154),AG153)</f>
        <v>0.216</v>
      </c>
      <c r="AH154" s="562"/>
      <c r="AI154" s="305" t="str">
        <f t="shared" si="21"/>
        <v>Moderado</v>
      </c>
      <c r="AJ154" s="145">
        <f>IF(Y154=[7]Listas!$G$55,AJ153-(AJ153*AB154),AJ153)</f>
        <v>0.44999999999999996</v>
      </c>
      <c r="AK154" s="562"/>
      <c r="AL154" s="565"/>
      <c r="AM154" s="565"/>
      <c r="AN154" s="565"/>
      <c r="AO154" s="568"/>
      <c r="AP154" s="631"/>
      <c r="AQ154" s="306" t="s">
        <v>80</v>
      </c>
      <c r="AR154" s="201" t="s">
        <v>345</v>
      </c>
      <c r="AZ154" s="146"/>
      <c r="BA154" s="147"/>
      <c r="BB154" s="148"/>
      <c r="BC154" s="643" t="s">
        <v>70</v>
      </c>
      <c r="BD154" s="643"/>
      <c r="BE154" s="643"/>
      <c r="BF154" s="643"/>
      <c r="BG154" s="643"/>
      <c r="BI154" s="149" t="s">
        <v>183</v>
      </c>
      <c r="BJ154" s="150" t="s">
        <v>184</v>
      </c>
      <c r="BK154" s="150" t="s">
        <v>185</v>
      </c>
      <c r="BL154" s="151" t="s">
        <v>186</v>
      </c>
      <c r="BN154" s="149" t="s">
        <v>183</v>
      </c>
      <c r="BO154" s="150" t="s">
        <v>187</v>
      </c>
      <c r="BP154" s="152" t="s">
        <v>188</v>
      </c>
      <c r="BQ154" s="152" t="s">
        <v>189</v>
      </c>
      <c r="BR154" s="151" t="s">
        <v>60</v>
      </c>
    </row>
    <row r="155" spans="2:70" ht="152.5" customHeight="1" thickTop="1" thickBot="1" x14ac:dyDescent="0.4">
      <c r="B155" s="870"/>
      <c r="C155" s="559"/>
      <c r="D155" s="761"/>
      <c r="E155" s="577"/>
      <c r="F155" s="678"/>
      <c r="G155" s="686"/>
      <c r="H155" s="689"/>
      <c r="I155" s="589"/>
      <c r="J155" s="589"/>
      <c r="K155" s="827"/>
      <c r="L155" s="589"/>
      <c r="M155" s="595"/>
      <c r="N155" s="598"/>
      <c r="O155" s="601"/>
      <c r="P155" s="595"/>
      <c r="Q155" s="604"/>
      <c r="R155" s="601"/>
      <c r="S155" s="283"/>
      <c r="T155" s="604"/>
      <c r="U155" s="142" t="s">
        <v>190</v>
      </c>
      <c r="V155" s="433" t="s">
        <v>346</v>
      </c>
      <c r="W155" s="301" t="s">
        <v>40</v>
      </c>
      <c r="X155" s="302">
        <f>IF(W155=[7]Listas!$B$46,[7]Listas!$C$46,IF(W155=[7]Listas!$B$47,[7]Listas!$C$47,IF(W155=[7]Listas!$B$48,[7]Listas!$C$48,"")))</f>
        <v>0.25</v>
      </c>
      <c r="Y155" s="303" t="str">
        <f>IF(OR(W155=[7]Listas!$F$53,W155=[7]Listas!$F$54),[7]Listas!$G$53,IF(W155=[7]Listas!$F$55,[7]Listas!$G$55,""))</f>
        <v>Probabilidad</v>
      </c>
      <c r="Z155" s="301" t="s">
        <v>43</v>
      </c>
      <c r="AA155" s="143">
        <f>+IF(Z155=[7]Listas!$E$46,[7]Listas!$F$46,IF(Z155=[7]Listas!$E$47,[7]Listas!$F$47,""))</f>
        <v>0.15</v>
      </c>
      <c r="AB155" s="144">
        <f t="shared" ref="AB155:AB161" si="22">IFERROR(X155+AA155,"")</f>
        <v>0.4</v>
      </c>
      <c r="AC155" s="301" t="s">
        <v>57</v>
      </c>
      <c r="AD155" s="301" t="s">
        <v>58</v>
      </c>
      <c r="AE155" s="304" t="s">
        <v>59</v>
      </c>
      <c r="AF155" s="305" t="str">
        <f t="shared" si="19"/>
        <v>Muy baja</v>
      </c>
      <c r="AG155" s="145">
        <f>IF(Y155=[7]Listas!$G$53,AG154-(AG154*AB155),AG154)</f>
        <v>0.12959999999999999</v>
      </c>
      <c r="AH155" s="562"/>
      <c r="AI155" s="305" t="str">
        <f t="shared" si="21"/>
        <v>Moderado</v>
      </c>
      <c r="AJ155" s="145">
        <f>IF(Y155=[7]Listas!$G$55,AJ154-(AJ154*AB155),AJ154)</f>
        <v>0.44999999999999996</v>
      </c>
      <c r="AK155" s="562"/>
      <c r="AL155" s="565"/>
      <c r="AM155" s="565"/>
      <c r="AN155" s="565"/>
      <c r="AO155" s="568"/>
      <c r="AP155" s="631"/>
      <c r="AQ155" s="306" t="s">
        <v>80</v>
      </c>
      <c r="AR155" s="206" t="s">
        <v>347</v>
      </c>
      <c r="AZ155" s="153"/>
      <c r="BA155" s="154"/>
      <c r="BB155" s="155" t="s">
        <v>192</v>
      </c>
      <c r="BC155" s="156">
        <v>0.2</v>
      </c>
      <c r="BD155" s="156">
        <v>0.4</v>
      </c>
      <c r="BE155" s="156">
        <v>0.6</v>
      </c>
      <c r="BF155" s="156">
        <v>0.8</v>
      </c>
      <c r="BG155" s="156">
        <v>1</v>
      </c>
      <c r="BI155" s="157" t="s">
        <v>193</v>
      </c>
      <c r="BJ155" s="158">
        <v>0.2</v>
      </c>
      <c r="BK155" s="159" t="s">
        <v>194</v>
      </c>
      <c r="BL155" s="160" t="s">
        <v>195</v>
      </c>
      <c r="BN155" s="157" t="s">
        <v>196</v>
      </c>
      <c r="BO155" s="159" t="s">
        <v>197</v>
      </c>
      <c r="BP155" s="161">
        <v>0</v>
      </c>
      <c r="BQ155" s="161">
        <v>2</v>
      </c>
      <c r="BR155" s="162">
        <v>0.2</v>
      </c>
    </row>
    <row r="156" spans="2:70" ht="57" thickTop="1" thickBot="1" x14ac:dyDescent="0.4">
      <c r="B156" s="870"/>
      <c r="C156" s="559"/>
      <c r="D156" s="761"/>
      <c r="E156" s="577"/>
      <c r="F156" s="678"/>
      <c r="G156" s="686"/>
      <c r="H156" s="689"/>
      <c r="I156" s="589"/>
      <c r="J156" s="589"/>
      <c r="K156" s="827"/>
      <c r="L156" s="589"/>
      <c r="M156" s="595"/>
      <c r="N156" s="598"/>
      <c r="O156" s="601"/>
      <c r="P156" s="595"/>
      <c r="Q156" s="604"/>
      <c r="R156" s="601"/>
      <c r="S156" s="283"/>
      <c r="T156" s="604"/>
      <c r="U156" s="142" t="s">
        <v>198</v>
      </c>
      <c r="V156" s="415"/>
      <c r="W156" s="301"/>
      <c r="X156" s="302" t="str">
        <f>IF(W156=[7]Listas!$B$46,[7]Listas!$C$46,IF(W156=[7]Listas!$B$47,[7]Listas!$C$47,IF(W156=[7]Listas!$B$48,[7]Listas!$C$48,"")))</f>
        <v/>
      </c>
      <c r="Y156" s="303" t="str">
        <f>IF(OR(W156=[7]Listas!$F$53,W156=[7]Listas!$F$54),[7]Listas!$G$53,IF(W156=[7]Listas!$F$55,[7]Listas!$G$55,""))</f>
        <v/>
      </c>
      <c r="Z156" s="301"/>
      <c r="AA156" s="143" t="str">
        <f>+IF(Z156=[7]Listas!$E$46,[7]Listas!$F$46,IF(Z156=[7]Listas!$E$47,[7]Listas!$F$47,""))</f>
        <v/>
      </c>
      <c r="AB156" s="144" t="str">
        <f t="shared" si="22"/>
        <v/>
      </c>
      <c r="AC156" s="301"/>
      <c r="AD156" s="301"/>
      <c r="AE156" s="304"/>
      <c r="AF156" s="305" t="str">
        <f t="shared" si="19"/>
        <v>Muy baja</v>
      </c>
      <c r="AG156" s="145">
        <f>IF(Y156=[7]Listas!$G$53,AG155-(AG155*AB156),AG155)</f>
        <v>0.12959999999999999</v>
      </c>
      <c r="AH156" s="562"/>
      <c r="AI156" s="305" t="str">
        <f t="shared" si="21"/>
        <v>Moderado</v>
      </c>
      <c r="AJ156" s="145">
        <f>IF(Y156=[7]Listas!$G$55,AJ155-(AJ155*AB156),AJ155)</f>
        <v>0.44999999999999996</v>
      </c>
      <c r="AK156" s="562"/>
      <c r="AL156" s="565"/>
      <c r="AM156" s="565"/>
      <c r="AN156" s="565"/>
      <c r="AO156" s="568"/>
      <c r="AP156" s="631"/>
      <c r="AQ156" s="306" t="s">
        <v>90</v>
      </c>
      <c r="AR156" s="207" t="s">
        <v>348</v>
      </c>
      <c r="AZ156" s="153"/>
      <c r="BA156" s="154"/>
      <c r="BB156" s="163" t="s">
        <v>200</v>
      </c>
      <c r="BC156" s="164" t="s">
        <v>193</v>
      </c>
      <c r="BD156" s="164" t="s">
        <v>201</v>
      </c>
      <c r="BE156" s="164" t="s">
        <v>83</v>
      </c>
      <c r="BF156" s="164" t="s">
        <v>202</v>
      </c>
      <c r="BG156" s="164" t="s">
        <v>203</v>
      </c>
      <c r="BI156" s="165" t="s">
        <v>201</v>
      </c>
      <c r="BJ156" s="158">
        <v>0.4</v>
      </c>
      <c r="BK156" s="166" t="s">
        <v>204</v>
      </c>
      <c r="BL156" s="167" t="s">
        <v>205</v>
      </c>
      <c r="BN156" s="165" t="s">
        <v>206</v>
      </c>
      <c r="BO156" s="166" t="s">
        <v>207</v>
      </c>
      <c r="BP156" s="161">
        <v>3</v>
      </c>
      <c r="BQ156" s="161">
        <v>24</v>
      </c>
      <c r="BR156" s="162">
        <v>0.4</v>
      </c>
    </row>
    <row r="157" spans="2:70" ht="30.75" hidden="1" customHeight="1" thickBot="1" x14ac:dyDescent="0.4">
      <c r="B157" s="870"/>
      <c r="C157" s="559"/>
      <c r="D157" s="761"/>
      <c r="E157" s="577"/>
      <c r="F157" s="678"/>
      <c r="G157" s="686"/>
      <c r="H157" s="689"/>
      <c r="I157" s="589"/>
      <c r="J157" s="589"/>
      <c r="K157" s="827"/>
      <c r="L157" s="589"/>
      <c r="M157" s="595"/>
      <c r="N157" s="598"/>
      <c r="O157" s="601"/>
      <c r="P157" s="595"/>
      <c r="Q157" s="604"/>
      <c r="R157" s="601"/>
      <c r="S157" s="283"/>
      <c r="T157" s="604"/>
      <c r="U157" s="142" t="s">
        <v>208</v>
      </c>
      <c r="V157" s="415"/>
      <c r="W157" s="301"/>
      <c r="X157" s="302" t="str">
        <f>IF(W157=[7]Listas!$B$46,[7]Listas!$C$46,IF(W157=[7]Listas!$B$47,[7]Listas!$C$47,IF(W157=[7]Listas!$B$48,[7]Listas!$C$48,"")))</f>
        <v/>
      </c>
      <c r="Y157" s="303" t="str">
        <f>IF(OR(W157=[7]Listas!$F$53,W157=[7]Listas!$F$54),[7]Listas!$G$53,IF(W157=[7]Listas!$F$55,[7]Listas!$G$55,""))</f>
        <v/>
      </c>
      <c r="Z157" s="301"/>
      <c r="AA157" s="143" t="str">
        <f>+IF(Z157=[7]Listas!$E$46,[7]Listas!$F$46,IF(Z157=[7]Listas!$E$47,[7]Listas!$F$47,""))</f>
        <v/>
      </c>
      <c r="AB157" s="144" t="str">
        <f t="shared" si="22"/>
        <v/>
      </c>
      <c r="AC157" s="301"/>
      <c r="AD157" s="301"/>
      <c r="AE157" s="304"/>
      <c r="AF157" s="305" t="str">
        <f t="shared" si="19"/>
        <v>Muy baja</v>
      </c>
      <c r="AG157" s="145">
        <f>IF(Y157=[7]Listas!$G$53,AG156-(AG156*AB157),AG156)</f>
        <v>0.12959999999999999</v>
      </c>
      <c r="AH157" s="562"/>
      <c r="AI157" s="305" t="str">
        <f t="shared" si="21"/>
        <v>Moderado</v>
      </c>
      <c r="AJ157" s="145">
        <f>IF(Y157=[7]Listas!$G$55,AJ156-(AJ156*AB157),AJ156)</f>
        <v>0.44999999999999996</v>
      </c>
      <c r="AK157" s="562"/>
      <c r="AL157" s="565"/>
      <c r="AM157" s="565"/>
      <c r="AN157" s="565"/>
      <c r="AO157" s="568"/>
      <c r="AP157" s="631"/>
      <c r="AQ157" s="306"/>
      <c r="AR157" s="117"/>
      <c r="AZ157" s="644" t="s">
        <v>60</v>
      </c>
      <c r="BA157" s="168">
        <v>1</v>
      </c>
      <c r="BB157" s="164" t="s">
        <v>210</v>
      </c>
      <c r="BC157" s="169" t="s">
        <v>81</v>
      </c>
      <c r="BD157" s="169" t="s">
        <v>81</v>
      </c>
      <c r="BE157" s="169" t="s">
        <v>81</v>
      </c>
      <c r="BF157" s="169" t="s">
        <v>81</v>
      </c>
      <c r="BG157" s="170" t="s">
        <v>77</v>
      </c>
      <c r="BI157" s="171" t="s">
        <v>83</v>
      </c>
      <c r="BJ157" s="158">
        <v>0.6</v>
      </c>
      <c r="BK157" s="166" t="s">
        <v>211</v>
      </c>
      <c r="BL157" s="167" t="s">
        <v>212</v>
      </c>
      <c r="BN157" s="171" t="s">
        <v>213</v>
      </c>
      <c r="BO157" s="166" t="s">
        <v>214</v>
      </c>
      <c r="BP157" s="161">
        <v>25</v>
      </c>
      <c r="BQ157" s="161">
        <v>500</v>
      </c>
      <c r="BR157" s="162">
        <v>0.6</v>
      </c>
    </row>
    <row r="158" spans="2:70" ht="30.75" hidden="1" customHeight="1" thickBot="1" x14ac:dyDescent="0.4">
      <c r="B158" s="870"/>
      <c r="C158" s="559"/>
      <c r="D158" s="761"/>
      <c r="E158" s="577"/>
      <c r="F158" s="678"/>
      <c r="G158" s="686"/>
      <c r="H158" s="689"/>
      <c r="I158" s="589"/>
      <c r="J158" s="589"/>
      <c r="K158" s="827"/>
      <c r="L158" s="589"/>
      <c r="M158" s="595"/>
      <c r="N158" s="598"/>
      <c r="O158" s="601"/>
      <c r="P158" s="595"/>
      <c r="Q158" s="604"/>
      <c r="R158" s="601"/>
      <c r="S158" s="283"/>
      <c r="T158" s="604"/>
      <c r="U158" s="142" t="s">
        <v>215</v>
      </c>
      <c r="V158" s="418"/>
      <c r="W158" s="301"/>
      <c r="X158" s="302" t="str">
        <f>IF(W158=[7]Listas!$B$46,[7]Listas!$C$46,IF(W158=[7]Listas!$B$47,[7]Listas!$C$47,IF(W158=[7]Listas!$B$48,[7]Listas!$C$48,"")))</f>
        <v/>
      </c>
      <c r="Y158" s="303" t="str">
        <f>IF(OR(W158=[7]Listas!$F$53,W158=[7]Listas!$F$54),[7]Listas!$G$53,IF(W158=[7]Listas!$F$55,[7]Listas!$G$55,""))</f>
        <v/>
      </c>
      <c r="Z158" s="301"/>
      <c r="AA158" s="143" t="str">
        <f>+IF(Z158=[7]Listas!$E$46,[7]Listas!$F$46,IF(Z158=[7]Listas!$E$47,[7]Listas!$F$47,""))</f>
        <v/>
      </c>
      <c r="AB158" s="144" t="str">
        <f t="shared" si="22"/>
        <v/>
      </c>
      <c r="AC158" s="301"/>
      <c r="AD158" s="301"/>
      <c r="AE158" s="304"/>
      <c r="AF158" s="305" t="str">
        <f t="shared" si="19"/>
        <v>Muy baja</v>
      </c>
      <c r="AG158" s="145">
        <f>IF(Y158=[7]Listas!$G$53,AG157-(AG157*AB158),AG157)</f>
        <v>0.12959999999999999</v>
      </c>
      <c r="AH158" s="562"/>
      <c r="AI158" s="305" t="str">
        <f t="shared" si="21"/>
        <v>Moderado</v>
      </c>
      <c r="AJ158" s="145">
        <f>IF(Y158=[7]Listas!$G$55,AJ157-(AJ157*AB158),AJ157)</f>
        <v>0.44999999999999996</v>
      </c>
      <c r="AK158" s="562"/>
      <c r="AL158" s="565"/>
      <c r="AM158" s="565"/>
      <c r="AN158" s="565"/>
      <c r="AO158" s="568"/>
      <c r="AP158" s="631"/>
      <c r="AQ158" s="306"/>
      <c r="AR158" s="117"/>
      <c r="AZ158" s="644"/>
      <c r="BA158" s="168">
        <v>0.8</v>
      </c>
      <c r="BB158" s="164" t="s">
        <v>217</v>
      </c>
      <c r="BC158" s="172" t="s">
        <v>83</v>
      </c>
      <c r="BD158" s="172" t="s">
        <v>83</v>
      </c>
      <c r="BE158" s="169" t="s">
        <v>81</v>
      </c>
      <c r="BF158" s="169" t="s">
        <v>81</v>
      </c>
      <c r="BG158" s="170" t="s">
        <v>77</v>
      </c>
      <c r="BI158" s="173" t="s">
        <v>202</v>
      </c>
      <c r="BJ158" s="158">
        <v>0.8</v>
      </c>
      <c r="BK158" s="166" t="s">
        <v>218</v>
      </c>
      <c r="BL158" s="167" t="s">
        <v>219</v>
      </c>
      <c r="BN158" s="173" t="s">
        <v>217</v>
      </c>
      <c r="BO158" s="166" t="s">
        <v>169</v>
      </c>
      <c r="BP158" s="161">
        <v>5001</v>
      </c>
      <c r="BQ158" s="161">
        <v>5000</v>
      </c>
      <c r="BR158" s="162">
        <v>0.8</v>
      </c>
    </row>
    <row r="159" spans="2:70" ht="15" hidden="1" customHeight="1" thickTop="1" x14ac:dyDescent="0.35">
      <c r="B159" s="870"/>
      <c r="C159" s="559"/>
      <c r="D159" s="761"/>
      <c r="E159" s="577"/>
      <c r="F159" s="678"/>
      <c r="G159" s="686"/>
      <c r="H159" s="689"/>
      <c r="I159" s="589"/>
      <c r="J159" s="589"/>
      <c r="K159" s="827"/>
      <c r="L159" s="589"/>
      <c r="M159" s="595"/>
      <c r="N159" s="598"/>
      <c r="O159" s="601"/>
      <c r="P159" s="595"/>
      <c r="Q159" s="604"/>
      <c r="R159" s="601"/>
      <c r="S159" s="283"/>
      <c r="T159" s="604"/>
      <c r="U159" s="142" t="s">
        <v>220</v>
      </c>
      <c r="V159" s="419"/>
      <c r="W159" s="301"/>
      <c r="X159" s="302" t="str">
        <f>IF(W159=[7]Listas!$B$46,[7]Listas!$C$46,IF(W159=[7]Listas!$B$47,[7]Listas!$C$47,IF(W159=[7]Listas!$B$48,[7]Listas!$C$48,"")))</f>
        <v/>
      </c>
      <c r="Y159" s="303" t="str">
        <f>IF(OR(W159=[7]Listas!$F$53,W159=[7]Listas!$F$54),[7]Listas!$G$53,IF(W159=[7]Listas!$F$55,[7]Listas!$G$55,""))</f>
        <v/>
      </c>
      <c r="Z159" s="301"/>
      <c r="AA159" s="143" t="str">
        <f>+IF(Z159=[7]Listas!$E$46,[7]Listas!$F$46,IF(Z159=[7]Listas!$E$47,[7]Listas!$F$47,""))</f>
        <v/>
      </c>
      <c r="AB159" s="144" t="str">
        <f t="shared" si="22"/>
        <v/>
      </c>
      <c r="AC159" s="301"/>
      <c r="AD159" s="301"/>
      <c r="AE159" s="304"/>
      <c r="AF159" s="305" t="str">
        <f t="shared" si="19"/>
        <v>Muy baja</v>
      </c>
      <c r="AG159" s="145">
        <f>IF(Y159=[7]Listas!$G$53,AG158-(AG158*AB159),AG158)</f>
        <v>0.12959999999999999</v>
      </c>
      <c r="AH159" s="562"/>
      <c r="AI159" s="305" t="str">
        <f t="shared" si="21"/>
        <v>Moderado</v>
      </c>
      <c r="AJ159" s="145">
        <f>IF(Y159=[7]Listas!$G$55,AJ158-(AJ158*AB159),AJ158)</f>
        <v>0.44999999999999996</v>
      </c>
      <c r="AK159" s="562"/>
      <c r="AL159" s="565"/>
      <c r="AM159" s="565"/>
      <c r="AN159" s="565"/>
      <c r="AO159" s="568"/>
      <c r="AP159" s="631"/>
      <c r="AQ159" s="306"/>
      <c r="AR159" s="117"/>
      <c r="AZ159" s="644"/>
      <c r="BA159" s="168">
        <v>0.6</v>
      </c>
      <c r="BB159" s="164" t="s">
        <v>213</v>
      </c>
      <c r="BC159" s="172" t="s">
        <v>83</v>
      </c>
      <c r="BD159" s="172" t="s">
        <v>83</v>
      </c>
      <c r="BE159" s="172" t="s">
        <v>83</v>
      </c>
      <c r="BF159" s="169" t="s">
        <v>81</v>
      </c>
      <c r="BG159" s="170" t="s">
        <v>77</v>
      </c>
      <c r="BI159" s="175" t="s">
        <v>203</v>
      </c>
      <c r="BJ159" s="158">
        <v>1</v>
      </c>
      <c r="BK159" s="166" t="s">
        <v>221</v>
      </c>
      <c r="BL159" s="167" t="s">
        <v>170</v>
      </c>
      <c r="BN159" s="175" t="s">
        <v>210</v>
      </c>
      <c r="BO159" s="166" t="s">
        <v>222</v>
      </c>
      <c r="BP159" s="161">
        <v>5001</v>
      </c>
      <c r="BQ159" s="161"/>
      <c r="BR159" s="162">
        <v>1</v>
      </c>
    </row>
    <row r="160" spans="2:70" ht="15" hidden="1" customHeight="1" thickTop="1" x14ac:dyDescent="0.35">
      <c r="B160" s="870"/>
      <c r="C160" s="559"/>
      <c r="D160" s="761"/>
      <c r="E160" s="577"/>
      <c r="F160" s="678"/>
      <c r="G160" s="686"/>
      <c r="H160" s="689"/>
      <c r="I160" s="589"/>
      <c r="J160" s="589"/>
      <c r="K160" s="827"/>
      <c r="L160" s="589"/>
      <c r="M160" s="595"/>
      <c r="N160" s="598"/>
      <c r="O160" s="601"/>
      <c r="P160" s="595"/>
      <c r="Q160" s="604"/>
      <c r="R160" s="601"/>
      <c r="S160" s="283"/>
      <c r="T160" s="604"/>
      <c r="U160" s="142" t="s">
        <v>223</v>
      </c>
      <c r="V160" s="419"/>
      <c r="W160" s="301"/>
      <c r="X160" s="302" t="str">
        <f>IF(W160=[7]Listas!$B$46,[7]Listas!$C$46,IF(W160=[7]Listas!$B$47,[7]Listas!$C$47,IF(W160=[7]Listas!$B$48,[7]Listas!$C$48,"")))</f>
        <v/>
      </c>
      <c r="Y160" s="303" t="str">
        <f>IF(OR(W160=[7]Listas!$F$53,W160=[7]Listas!$F$54),[7]Listas!$G$53,IF(W160=[7]Listas!$F$55,[7]Listas!$G$55,""))</f>
        <v/>
      </c>
      <c r="Z160" s="301"/>
      <c r="AA160" s="143" t="str">
        <f>+IF(Z160=[7]Listas!$E$46,[7]Listas!$F$46,IF(Z160=[7]Listas!$E$47,[7]Listas!$F$47,""))</f>
        <v/>
      </c>
      <c r="AB160" s="144" t="str">
        <f t="shared" si="22"/>
        <v/>
      </c>
      <c r="AC160" s="301"/>
      <c r="AD160" s="301"/>
      <c r="AE160" s="304"/>
      <c r="AF160" s="305" t="str">
        <f t="shared" si="19"/>
        <v>Muy baja</v>
      </c>
      <c r="AG160" s="145">
        <f>IF(Y160=[7]Listas!$G$53,AG159-(AG159*AB160),AG159)</f>
        <v>0.12959999999999999</v>
      </c>
      <c r="AH160" s="562"/>
      <c r="AI160" s="305" t="str">
        <f t="shared" si="21"/>
        <v>Moderado</v>
      </c>
      <c r="AJ160" s="145">
        <f>IF(Y160=[7]Listas!$G$55,AJ159-(AJ159*AB160),AJ159)</f>
        <v>0.44999999999999996</v>
      </c>
      <c r="AK160" s="562"/>
      <c r="AL160" s="565"/>
      <c r="AM160" s="565"/>
      <c r="AN160" s="565"/>
      <c r="AO160" s="568"/>
      <c r="AP160" s="631"/>
      <c r="AQ160" s="306"/>
      <c r="AR160" s="117"/>
      <c r="AZ160" s="644"/>
      <c r="BA160" s="168">
        <v>0.4</v>
      </c>
      <c r="BB160" s="164" t="s">
        <v>206</v>
      </c>
      <c r="BC160" s="176" t="s">
        <v>86</v>
      </c>
      <c r="BD160" s="172" t="s">
        <v>83</v>
      </c>
      <c r="BE160" s="172" t="s">
        <v>83</v>
      </c>
      <c r="BF160" s="169" t="s">
        <v>81</v>
      </c>
      <c r="BG160" s="170" t="s">
        <v>77</v>
      </c>
    </row>
    <row r="161" spans="2:59" ht="15.75" hidden="1" customHeight="1" thickTop="1" x14ac:dyDescent="0.35">
      <c r="B161" s="870"/>
      <c r="C161" s="559"/>
      <c r="D161" s="762"/>
      <c r="E161" s="578"/>
      <c r="F161" s="679"/>
      <c r="G161" s="687"/>
      <c r="H161" s="690"/>
      <c r="I161" s="590"/>
      <c r="J161" s="590"/>
      <c r="K161" s="828"/>
      <c r="L161" s="590"/>
      <c r="M161" s="596"/>
      <c r="N161" s="599"/>
      <c r="O161" s="602"/>
      <c r="P161" s="596"/>
      <c r="Q161" s="605"/>
      <c r="R161" s="602"/>
      <c r="S161" s="284"/>
      <c r="T161" s="605"/>
      <c r="U161" s="202" t="s">
        <v>224</v>
      </c>
      <c r="V161" s="420"/>
      <c r="W161" s="307"/>
      <c r="X161" s="308" t="str">
        <f>IF(W161=[7]Listas!$B$46,[7]Listas!$C$46,IF(W161=[7]Listas!$B$47,[7]Listas!$C$47,IF(W161=[7]Listas!$B$48,[7]Listas!$C$48,"")))</f>
        <v/>
      </c>
      <c r="Y161" s="309" t="str">
        <f>IF(OR(W161=[7]Listas!$F$53,W161=[7]Listas!$F$54),[7]Listas!$G$53,IF(W161=[7]Listas!$F$55,[7]Listas!$G$55,""))</f>
        <v/>
      </c>
      <c r="Z161" s="307"/>
      <c r="AA161" s="177" t="str">
        <f>+IF(Z161=[7]Listas!$E$46,[7]Listas!$F$46,IF(Z161=[7]Listas!$E$47,[7]Listas!$F$47,""))</f>
        <v/>
      </c>
      <c r="AB161" s="178" t="str">
        <f t="shared" si="22"/>
        <v/>
      </c>
      <c r="AC161" s="307"/>
      <c r="AD161" s="307"/>
      <c r="AE161" s="310"/>
      <c r="AF161" s="311" t="str">
        <f t="shared" si="19"/>
        <v>Muy baja</v>
      </c>
      <c r="AG161" s="179">
        <f>IF(Y161=[7]Listas!$G$53,AG160-(AG160*AB161),AG160)</f>
        <v>0.12959999999999999</v>
      </c>
      <c r="AH161" s="563"/>
      <c r="AI161" s="311" t="str">
        <f t="shared" si="21"/>
        <v>Moderado</v>
      </c>
      <c r="AJ161" s="179">
        <f>IF(Y161=[7]Listas!$G$55,AJ160-(AJ160*AB161),AJ160)</f>
        <v>0.44999999999999996</v>
      </c>
      <c r="AK161" s="563"/>
      <c r="AL161" s="566"/>
      <c r="AM161" s="566"/>
      <c r="AN161" s="566"/>
      <c r="AO161" s="569"/>
      <c r="AP161" s="632"/>
      <c r="AQ161" s="312"/>
      <c r="AR161" s="180"/>
      <c r="AZ161" s="644"/>
      <c r="BA161" s="168">
        <v>0.2</v>
      </c>
      <c r="BB161" s="164" t="s">
        <v>196</v>
      </c>
      <c r="BC161" s="176" t="s">
        <v>86</v>
      </c>
      <c r="BD161" s="176" t="s">
        <v>86</v>
      </c>
      <c r="BE161" s="172" t="s">
        <v>83</v>
      </c>
      <c r="BF161" s="169" t="s">
        <v>81</v>
      </c>
      <c r="BG161" s="170" t="s">
        <v>77</v>
      </c>
    </row>
    <row r="162" spans="2:59" ht="283.5" customHeight="1" thickTop="1" thickBot="1" x14ac:dyDescent="0.4">
      <c r="B162" s="870"/>
      <c r="C162" s="559"/>
      <c r="D162" s="744" t="s">
        <v>349</v>
      </c>
      <c r="E162" s="576" t="s">
        <v>4</v>
      </c>
      <c r="F162" s="645" t="s">
        <v>350</v>
      </c>
      <c r="G162" s="674" t="s">
        <v>351</v>
      </c>
      <c r="H162" s="829" t="s">
        <v>352</v>
      </c>
      <c r="I162" s="588" t="s">
        <v>20</v>
      </c>
      <c r="J162" s="588" t="s">
        <v>22</v>
      </c>
      <c r="K162" s="831" t="s">
        <v>353</v>
      </c>
      <c r="L162" s="588" t="s">
        <v>186</v>
      </c>
      <c r="M162" s="594" t="s">
        <v>207</v>
      </c>
      <c r="N162" s="597" t="str">
        <f>+IF(M162="","",IF(M162=$BO$15,$BN$15,IF(M162=$BO$16,$BN$16,IF(M162=$BO$17,$BN$17,IF(M162=$BO$18,$BN$18,IF(M162=$BO$19,$BN$19))))))</f>
        <v>Baja</v>
      </c>
      <c r="O162" s="600">
        <f>+IF(M162="","",IF(M162=$BO$15,$BR$15,IF(M162=$BO$16,$BR$16,IF(M162=$BO$17,$BR$17,IF(M162=$BO$18,$BR$18,IF(M162=$BO$19,$BR$19))))))</f>
        <v>0.4</v>
      </c>
      <c r="P162" s="594" t="s">
        <v>212</v>
      </c>
      <c r="Q162" s="603" t="str">
        <f>+IF(P162="","",IF(P162='[7]Mapa de Calor inherente'!$AF$6,'[7]Mapa de Calor inherente'!$AD$6,IF(P162='[7]Mapa de Calor inherente'!$AF$7,'[7]Mapa de Calor inherente'!$AD$7,IF(P162='[7]Mapa de Calor inherente'!$AF$8,'[7]Mapa de Calor inherente'!$AD$8,IF(P162='[7]Mapa de Calor inherente'!$AF$9,'[7]Mapa de Calor inherente'!$AD$9,IF(P162='[7]Mapa de Calor inherente'!$AF$10,'[7]Mapa de Calor inherente'!$AD$10,IF(P162='[7]Mapa de Calor inherente'!$AG$6,'[7]Mapa de Calor inherente'!$AD$6,IF(P162='[7]Mapa de Calor inherente'!$AG$7,'[7]Mapa de Calor inherente'!$AD$7,IF(P162='[7]Mapa de Calor inherente'!$AG$8,'[7]Mapa de Calor inherente'!$AD$8,IF(P162='[7]Mapa de Calor inherente'!$AG$9,'[7]Mapa de Calor inherente'!$AD$9,IF(P162='[7]Mapa de Calor inherente'!$AG$10,'[7]Mapa de Calor inherente'!$AD$10,IF(P162='[7]Mapa de Calor inherente'!$AD$8,'[7]Mapa de Calor inherente'!$AD$8,IF(P162='[7]Mapa de Calor inherente'!$AD$9,'[7]Mapa de Calor inherente'!$AD$9,IF(P162='[7]Mapa de Calor inherente'!$AD$10,'[7]Mapa de Calor inherente'!$AD$10))))))))))))))</f>
        <v>Moderado</v>
      </c>
      <c r="R162" s="600">
        <f>+IF(P162="","",IF(P162='[7]Mapa de Calor inherente'!$AF$6,'[7]Mapa de Calor inherente'!$AE$6,IF(P162='[7]Mapa de Calor inherente'!$AF$7,'[7]Mapa de Calor inherente'!$AE$7,IF(P162='[7]Mapa de Calor inherente'!$AF$8,'[7]Mapa de Calor inherente'!$AE$8,IF(P162='[7]Mapa de Calor inherente'!$AF$9,'[7]Mapa de Calor inherente'!$AE$9,IF(P162='[7]Mapa de Calor inherente'!$AF$10,'[7]Mapa de Calor inherente'!$AE$10,IF(P162='[7]Mapa de Calor inherente'!$AG$6,'[7]Mapa de Calor inherente'!$AE$6,IF(P162='[7]Mapa de Calor inherente'!$AG$7,'[7]Mapa de Calor inherente'!$AE$7,IF(P162='[7]Mapa de Calor inherente'!$AG$8,'[7]Mapa de Calor inherente'!$AE$8,IF(P162='[7]Mapa de Calor inherente'!$AG$9,'[7]Mapa de Calor inherente'!$AE$9,IF(P162='[7]Mapa de Calor inherente'!$AG$10,'[7]Mapa de Calor inherente'!$AE$10,IF(P162='[7]Mapa de Calor inherente'!$AD$8,'[7]Mapa de Calor inherente'!$AE$8,IF(P162='[7]Mapa de Calor inherente'!$AD$9,'[7]Mapa de Calor inherente'!$AE$9,IF(P162='[7]Mapa de Calor inherente'!$AD$10,'[7]Mapa de Calor inherente'!$AE$10))))))))))))))</f>
        <v>0.6</v>
      </c>
      <c r="S162" s="292"/>
      <c r="T162" s="606" t="str">
        <f>+IF(N162=$BB$17,IF(Q162=$BC$16,$BC$17,IF(Q162=$BD$16,$BD$17,IF(Q162=$BE$16,$BE$17,IF(Q162=$BF$16,$BF$17,IF(Q162=$BG$16,$BG$17))))),IF(N162=$BB$18,IF(Q162=$BC$16,$BC$18,IF(Q162=$BD$16,$BD$18,IF(Q162=$BE$16,$BE$18,IF(Q162=$BF$16,$BF$18,IF(Q162=$BG$16,$BG$18))))),IF(N162=$BB$19,IF(Q162=$BC$16,$BC$19,IF(Q162=$BD$16,$BD$19,IF(Q162=$BE$16,$BE$19,IF(Q162=$BF$16,$BF$19,IF(Q162=$BG$16,$BG$19))))),IF(N162=$BB$20,IF(Q162=$BC$16,$BC$20,IF(Q162=$BD$16,$BD$20,IF(Q162=$BE$16,$BE$20,IF(Q162=$BF$16,$BF$20,IF(Q162=$BG$16,$BG$20))))),IF(N162=$BB$21,IF(Q162=$BC$16,$BC$21,IF(Q162=$BD$16,$BD$21,IF(Q162=$BE$16,$BE$21,IF(Q162=$BF$16,$BF$21,IF(Q162=$BG$16,$BG$21))))),"")))))</f>
        <v>Moderado</v>
      </c>
      <c r="U162" s="139" t="s">
        <v>171</v>
      </c>
      <c r="V162" s="434" t="s">
        <v>354</v>
      </c>
      <c r="W162" s="313" t="s">
        <v>40</v>
      </c>
      <c r="X162" s="314">
        <f>IF(W162=[7]Listas!$B$46,[7]Listas!$C$46,IF(W162=[7]Listas!$B$47,[7]Listas!$C$47,IF(W162=[7]Listas!$B$48,[7]Listas!$C$48,"")))</f>
        <v>0.25</v>
      </c>
      <c r="Y162" s="315" t="str">
        <f>IF(OR(W162=[7]Listas!$F$53,W162=[7]Listas!$F$54),[7]Listas!$G$53,IF(W162=[7]Listas!$F$55,[7]Listas!$G$55,""))</f>
        <v>Probabilidad</v>
      </c>
      <c r="Z162" s="313" t="s">
        <v>43</v>
      </c>
      <c r="AA162" s="314">
        <f>+IF(Z162=[7]Listas!$E$46,[7]Listas!$F$46,IF(Z162=[7]Listas!$E$47,[7]Listas!$F$47,""))</f>
        <v>0.15</v>
      </c>
      <c r="AB162" s="181">
        <f>IFERROR(X162+AA162,"")</f>
        <v>0.4</v>
      </c>
      <c r="AC162" s="313" t="s">
        <v>57</v>
      </c>
      <c r="AD162" s="316" t="s">
        <v>58</v>
      </c>
      <c r="AE162" s="317" t="s">
        <v>59</v>
      </c>
      <c r="AF162" s="299" t="str">
        <f t="shared" si="19"/>
        <v>Baja</v>
      </c>
      <c r="AG162" s="141">
        <f>IF(Y162=[7]Listas!$G$53,O162-(O162*AB162),O162)</f>
        <v>0.24</v>
      </c>
      <c r="AH162" s="561">
        <f>+IF(AG171="","",AG171)</f>
        <v>0.14399999999999999</v>
      </c>
      <c r="AI162" s="299" t="str">
        <f>IF(AJ162="","",IF(AJ162&lt;=20%,"Leve",IF(AJ162&lt;=40%,"Menor",IF(AJ162&lt;=60%,"Moderado",IF(AJ162&lt;=80%,"Mayor","Catastrófico")))))</f>
        <v>Moderado</v>
      </c>
      <c r="AJ162" s="141">
        <f>IF(Y162=[7]Listas!$G$55,R162-(R162*AB162),R162)</f>
        <v>0.6</v>
      </c>
      <c r="AK162" s="561">
        <f>+IF(AJ171="","",AJ171)</f>
        <v>0.6</v>
      </c>
      <c r="AL162" s="564" t="str">
        <f>+IF(AH162=0,"",IF(AH162&lt;=$BA$21,$BB$21,IF(AH162&lt;=$BA$20,$BB$20,IF(AH162&lt;=$BA$19,$BB$19,IF(AH162&lt;=$BA$18,$BB$18,IF(AH162&lt;=$BA$17,$BB$17,""))))))</f>
        <v>Muy Baja</v>
      </c>
      <c r="AM162" s="564" t="str">
        <f>+IF(AK162=0,"",IF(AK162&lt;=$BC$15,$BC$16,IF(AK162&lt;=$BD$15,$BD$16,IF(AK162&lt;=$BE$15,$BE$16,IF(AK162&lt;=$BF$15,$BF$16,IF(AK162&lt;=$BG$15,$BG$16,""))))))</f>
        <v>Moderado</v>
      </c>
      <c r="AN162" s="564" t="str">
        <f>IF(AL162=$BB$17,IF(AM162=$BC$16,$BC$17,IF(AM162=$BD$16,$BD$17,IF(AM162=$BE$16,$BE$17,IF(AM162=$BF$16,$BF$17,IF(AM162=$BG$16,$BG$17))))),IF(AL162=$BB$18,IF(AM162=$BC$16,$BC$18,IF(AM162=$BD$16,$BD$18,IF(AM162=$BE$16,$BE$18,IF(AM162=$BF$16,$BF$18,IF(AM162=$BG$16,$BG$18))))),IF(AL162=$BB$19,IF(AM162=$BC$16,$BC$19,IF(AM162=$BD$16,$BD$19,IF(AM162=$BE$16,$BE$19,IF(AM162=$BF$16,$BF$19,IF(AM162=$BG$16,$BG$19))))),IF(AL162=$BB$20,IF(AM162=$BC$16,$BC$20,IF(AM162=$BD$16,$BD$20,IF(AM162=$BE$16,$BE$20,IF(AM162=$BF$16,$BF$20,IF(AM162=$BG$16,$BG$20))))),IF(AL162=$BB$21,IF(AM162=$BC$16,$BC$21,IF(AM162=$BD$16,$BD$21,IF(AM162=$BE$16,$BE$21,IF(AM162=$BF$16,$BF$21,IF(AM162=$BG$16,$BG$21))))),"")))))</f>
        <v>Moderado</v>
      </c>
      <c r="AO162" s="567" t="str">
        <f>IF(AP162="","",IF(AP162=[7]Listas!$F$61,[7]Listas!$G$61,IF(AP162=[7]Listas!$F$63,[7]Listas!$G$63,IF(AP162=[7]Listas!$F$64,[7]Listas!$G$64))))</f>
        <v>Requiere Plan de Acción</v>
      </c>
      <c r="AP162" s="570" t="str">
        <f>IF(AN162="","",IF(OR(AN162=[7]Listas!$E$61,AN162=[7]Listas!$E$62),[7]Listas!$F$61,IF(AN162=[7]Listas!$E$63,[7]Listas!$F$63,IF(AN162=[7]Listas!$E$64,[7]Listas!$F$64))))</f>
        <v>Aceptar o reducir el riesgo</v>
      </c>
      <c r="AQ162" s="318" t="s">
        <v>80</v>
      </c>
      <c r="AR162" s="208" t="s">
        <v>355</v>
      </c>
    </row>
    <row r="163" spans="2:59" ht="117.65" customHeight="1" thickTop="1" thickBot="1" x14ac:dyDescent="0.4">
      <c r="B163" s="870"/>
      <c r="C163" s="559"/>
      <c r="D163" s="745"/>
      <c r="E163" s="577"/>
      <c r="F163" s="646"/>
      <c r="G163" s="675"/>
      <c r="H163" s="814"/>
      <c r="I163" s="589"/>
      <c r="J163" s="589"/>
      <c r="K163" s="832"/>
      <c r="L163" s="589"/>
      <c r="M163" s="595"/>
      <c r="N163" s="598"/>
      <c r="O163" s="601"/>
      <c r="P163" s="595"/>
      <c r="Q163" s="604"/>
      <c r="R163" s="601"/>
      <c r="S163" s="286"/>
      <c r="T163" s="607"/>
      <c r="U163" s="142" t="s">
        <v>174</v>
      </c>
      <c r="V163" s="426" t="s">
        <v>356</v>
      </c>
      <c r="W163" s="319" t="s">
        <v>40</v>
      </c>
      <c r="X163" s="320">
        <f>IF(W163=[7]Listas!$B$46,[7]Listas!$C$46,IF(W163=[7]Listas!$B$47,[7]Listas!$C$47,IF(W163=[7]Listas!$B$48,[7]Listas!$C$48,"")))</f>
        <v>0.25</v>
      </c>
      <c r="Y163" s="321" t="str">
        <f>IF(OR(W163=[7]Listas!$F$53,W163=[7]Listas!$F$54),[7]Listas!$G$53,IF(W163=[7]Listas!$F$55,[7]Listas!$G$55,""))</f>
        <v>Probabilidad</v>
      </c>
      <c r="Z163" s="319" t="s">
        <v>43</v>
      </c>
      <c r="AA163" s="182">
        <f>+IF(Z163=[7]Listas!$E$46,[7]Listas!$F$46,IF(Z163=[7]Listas!$E$47,[7]Listas!$F$47,""))</f>
        <v>0.15</v>
      </c>
      <c r="AB163" s="183">
        <f>IFERROR(X163+AA163,"")</f>
        <v>0.4</v>
      </c>
      <c r="AC163" s="319" t="s">
        <v>64</v>
      </c>
      <c r="AD163" s="322" t="s">
        <v>58</v>
      </c>
      <c r="AE163" s="323" t="s">
        <v>59</v>
      </c>
      <c r="AF163" s="305" t="str">
        <f t="shared" si="19"/>
        <v>Muy baja</v>
      </c>
      <c r="AG163" s="145">
        <f>IF(Y163=[7]Listas!$G$53,AG162-(AG162*AB163),AG162)</f>
        <v>0.14399999999999999</v>
      </c>
      <c r="AH163" s="562"/>
      <c r="AI163" s="305" t="str">
        <f t="shared" si="21"/>
        <v>Moderado</v>
      </c>
      <c r="AJ163" s="145">
        <f>IF(Y163=[7]Listas!$G$55,AJ162-(AJ162*AB163),AJ162)</f>
        <v>0.6</v>
      </c>
      <c r="AK163" s="562"/>
      <c r="AL163" s="565"/>
      <c r="AM163" s="565"/>
      <c r="AN163" s="565"/>
      <c r="AO163" s="568"/>
      <c r="AP163" s="571"/>
      <c r="AQ163" s="324" t="s">
        <v>90</v>
      </c>
      <c r="AR163" s="209" t="s">
        <v>357</v>
      </c>
    </row>
    <row r="164" spans="2:59" ht="16.5" hidden="1" customHeight="1" thickTop="1" thickBot="1" x14ac:dyDescent="0.4">
      <c r="B164" s="870"/>
      <c r="C164" s="559"/>
      <c r="D164" s="745"/>
      <c r="E164" s="577"/>
      <c r="F164" s="646"/>
      <c r="G164" s="675"/>
      <c r="H164" s="814"/>
      <c r="I164" s="589"/>
      <c r="J164" s="589"/>
      <c r="K164" s="832"/>
      <c r="L164" s="589"/>
      <c r="M164" s="595"/>
      <c r="N164" s="598"/>
      <c r="O164" s="601"/>
      <c r="P164" s="595"/>
      <c r="Q164" s="604"/>
      <c r="R164" s="601"/>
      <c r="S164" s="287"/>
      <c r="T164" s="607"/>
      <c r="U164" s="142" t="s">
        <v>180</v>
      </c>
      <c r="V164" s="415"/>
      <c r="W164" s="319"/>
      <c r="X164" s="320" t="str">
        <f>IF(W164=[7]Listas!$B$46,[7]Listas!$C$46,IF(W164=[7]Listas!$B$47,[7]Listas!$C$47,IF(W164=[7]Listas!$B$48,[7]Listas!$C$48,"")))</f>
        <v/>
      </c>
      <c r="Y164" s="321" t="str">
        <f>IF(OR(W164=[7]Listas!$F$53,W164=[7]Listas!$F$54),[7]Listas!$G$53,IF(W164=[7]Listas!$F$55,[7]Listas!$G$55,""))</f>
        <v/>
      </c>
      <c r="Z164" s="319"/>
      <c r="AA164" s="182" t="str">
        <f>+IF(Z164=[7]Listas!$E$46,[7]Listas!$F$46,IF(Z164=[7]Listas!$E$47,[7]Listas!$F$47,""))</f>
        <v/>
      </c>
      <c r="AB164" s="183" t="str">
        <f>IFERROR(X164+AA164,"")</f>
        <v/>
      </c>
      <c r="AC164" s="325"/>
      <c r="AD164" s="326"/>
      <c r="AE164" s="327"/>
      <c r="AF164" s="305" t="str">
        <f t="shared" si="19"/>
        <v>Muy baja</v>
      </c>
      <c r="AG164" s="145">
        <f>IF(Y164=[7]Listas!$G$53,AG163-(AG163*AB164),AG163)</f>
        <v>0.14399999999999999</v>
      </c>
      <c r="AH164" s="562"/>
      <c r="AI164" s="305" t="str">
        <f t="shared" si="21"/>
        <v>Moderado</v>
      </c>
      <c r="AJ164" s="145">
        <f>IF(Y164=[7]Listas!$G$55,AJ163-(AJ163*AB164),AJ163)</f>
        <v>0.6</v>
      </c>
      <c r="AK164" s="562"/>
      <c r="AL164" s="565"/>
      <c r="AM164" s="565"/>
      <c r="AN164" s="565"/>
      <c r="AO164" s="568"/>
      <c r="AP164" s="571"/>
      <c r="AQ164" s="324"/>
      <c r="AR164" s="184"/>
    </row>
    <row r="165" spans="2:59" ht="15" hidden="1" customHeight="1" thickTop="1" thickBot="1" x14ac:dyDescent="0.4">
      <c r="B165" s="870"/>
      <c r="C165" s="559"/>
      <c r="D165" s="745"/>
      <c r="E165" s="577"/>
      <c r="F165" s="646"/>
      <c r="G165" s="675"/>
      <c r="H165" s="814"/>
      <c r="I165" s="589"/>
      <c r="J165" s="589"/>
      <c r="K165" s="832"/>
      <c r="L165" s="589"/>
      <c r="M165" s="595"/>
      <c r="N165" s="598"/>
      <c r="O165" s="601"/>
      <c r="P165" s="595"/>
      <c r="Q165" s="604"/>
      <c r="R165" s="601"/>
      <c r="S165" s="287"/>
      <c r="T165" s="607"/>
      <c r="U165" s="142" t="s">
        <v>190</v>
      </c>
      <c r="V165" s="415"/>
      <c r="W165" s="319"/>
      <c r="X165" s="320" t="str">
        <f>IF(W165=[7]Listas!$B$46,[7]Listas!$C$46,IF(W165=[7]Listas!$B$47,[7]Listas!$C$47,IF(W165=[7]Listas!$B$48,[7]Listas!$C$48,"")))</f>
        <v/>
      </c>
      <c r="Y165" s="321" t="str">
        <f>IF(OR(W165=[7]Listas!$F$53,W165=[7]Listas!$F$54),[7]Listas!$G$53,IF(W165=[7]Listas!$F$55,[7]Listas!$G$55,""))</f>
        <v/>
      </c>
      <c r="Z165" s="319"/>
      <c r="AA165" s="182" t="str">
        <f>+IF(Z165=[7]Listas!$E$46,[7]Listas!$F$46,IF(Z165=[7]Listas!$E$47,[7]Listas!$F$47,""))</f>
        <v/>
      </c>
      <c r="AB165" s="183" t="str">
        <f t="shared" ref="AB165:AB171" si="23">IFERROR(X165+AA165,"")</f>
        <v/>
      </c>
      <c r="AC165" s="328"/>
      <c r="AD165" s="329"/>
      <c r="AE165" s="330"/>
      <c r="AF165" s="305" t="str">
        <f t="shared" si="19"/>
        <v>Muy baja</v>
      </c>
      <c r="AG165" s="145">
        <f>IF(Y165=[7]Listas!$G$53,AG164-(AG164*AB165),AG164)</f>
        <v>0.14399999999999999</v>
      </c>
      <c r="AH165" s="562"/>
      <c r="AI165" s="305" t="str">
        <f t="shared" si="21"/>
        <v>Moderado</v>
      </c>
      <c r="AJ165" s="145">
        <f>IF(Y165=[7]Listas!$G$55,AJ164-(AJ164*AB165),AJ164)</f>
        <v>0.6</v>
      </c>
      <c r="AK165" s="562"/>
      <c r="AL165" s="565"/>
      <c r="AM165" s="565"/>
      <c r="AN165" s="565"/>
      <c r="AO165" s="568"/>
      <c r="AP165" s="571"/>
      <c r="AQ165" s="324"/>
      <c r="AR165" s="185"/>
    </row>
    <row r="166" spans="2:59" ht="15" hidden="1" customHeight="1" thickTop="1" thickBot="1" x14ac:dyDescent="0.4">
      <c r="B166" s="870"/>
      <c r="C166" s="559"/>
      <c r="D166" s="745"/>
      <c r="E166" s="577"/>
      <c r="F166" s="646"/>
      <c r="G166" s="675"/>
      <c r="H166" s="814"/>
      <c r="I166" s="589"/>
      <c r="J166" s="589"/>
      <c r="K166" s="832"/>
      <c r="L166" s="589"/>
      <c r="M166" s="595"/>
      <c r="N166" s="598"/>
      <c r="O166" s="601"/>
      <c r="P166" s="595"/>
      <c r="Q166" s="604"/>
      <c r="R166" s="601"/>
      <c r="S166" s="287"/>
      <c r="T166" s="607"/>
      <c r="U166" s="142" t="s">
        <v>198</v>
      </c>
      <c r="V166" s="415"/>
      <c r="W166" s="331"/>
      <c r="X166" s="320" t="str">
        <f>IF(W166=[7]Listas!$B$46,[7]Listas!$C$46,IF(W166=[7]Listas!$B$47,[7]Listas!$C$47,IF(W166=[7]Listas!$B$48,[7]Listas!$C$48,"")))</f>
        <v/>
      </c>
      <c r="Y166" s="321" t="str">
        <f>IF(OR(W166=[7]Listas!$F$53,W166=[7]Listas!$F$54),[7]Listas!$G$53,IF(W166=[7]Listas!$F$55,[7]Listas!$G$55,""))</f>
        <v/>
      </c>
      <c r="Z166" s="331"/>
      <c r="AA166" s="182" t="str">
        <f>+IF(Z166=[7]Listas!$E$46,[7]Listas!$F$46,IF(Z166=[7]Listas!$E$47,[7]Listas!$F$47,""))</f>
        <v/>
      </c>
      <c r="AB166" s="183" t="str">
        <f t="shared" si="23"/>
        <v/>
      </c>
      <c r="AC166" s="319"/>
      <c r="AD166" s="322"/>
      <c r="AE166" s="323"/>
      <c r="AF166" s="305" t="str">
        <f t="shared" si="19"/>
        <v>Muy baja</v>
      </c>
      <c r="AG166" s="145">
        <f>IF(Y166=[7]Listas!$G$53,AG165-(AG165*AB166),AG165)</f>
        <v>0.14399999999999999</v>
      </c>
      <c r="AH166" s="562"/>
      <c r="AI166" s="305" t="str">
        <f t="shared" si="21"/>
        <v>Moderado</v>
      </c>
      <c r="AJ166" s="145">
        <f>IF(Y166=[7]Listas!$G$55,AJ165-(AJ165*AB166),AJ165)</f>
        <v>0.6</v>
      </c>
      <c r="AK166" s="562"/>
      <c r="AL166" s="565"/>
      <c r="AM166" s="565"/>
      <c r="AN166" s="565"/>
      <c r="AO166" s="568"/>
      <c r="AP166" s="571"/>
      <c r="AQ166" s="324"/>
      <c r="AR166" s="185"/>
    </row>
    <row r="167" spans="2:59" ht="15.75" hidden="1" customHeight="1" thickTop="1" thickBot="1" x14ac:dyDescent="0.4">
      <c r="B167" s="870"/>
      <c r="C167" s="559"/>
      <c r="D167" s="745"/>
      <c r="E167" s="577"/>
      <c r="F167" s="646"/>
      <c r="G167" s="675"/>
      <c r="H167" s="814"/>
      <c r="I167" s="589"/>
      <c r="J167" s="589"/>
      <c r="K167" s="832"/>
      <c r="L167" s="589"/>
      <c r="M167" s="595"/>
      <c r="N167" s="598"/>
      <c r="O167" s="601"/>
      <c r="P167" s="595"/>
      <c r="Q167" s="604"/>
      <c r="R167" s="601"/>
      <c r="S167" s="288"/>
      <c r="T167" s="607"/>
      <c r="U167" s="142" t="s">
        <v>208</v>
      </c>
      <c r="V167" s="415"/>
      <c r="W167" s="331"/>
      <c r="X167" s="320" t="str">
        <f>IF(W167=[7]Listas!$B$46,[7]Listas!$C$46,IF(W167=[7]Listas!$B$47,[7]Listas!$C$47,IF(W167=[7]Listas!$B$48,[7]Listas!$C$48,"")))</f>
        <v/>
      </c>
      <c r="Y167" s="321" t="str">
        <f>IF(OR(W167=[7]Listas!$F$53,W167=[7]Listas!$F$54),[7]Listas!$G$53,IF(W167=[7]Listas!$F$55,[7]Listas!$G$55,""))</f>
        <v/>
      </c>
      <c r="Z167" s="331"/>
      <c r="AA167" s="182" t="str">
        <f>+IF(Z167=[7]Listas!$E$46,[7]Listas!$F$46,IF(Z167=[7]Listas!$E$47,[7]Listas!$F$47,""))</f>
        <v/>
      </c>
      <c r="AB167" s="183" t="str">
        <f t="shared" si="23"/>
        <v/>
      </c>
      <c r="AC167" s="319"/>
      <c r="AD167" s="322"/>
      <c r="AE167" s="323"/>
      <c r="AF167" s="305" t="str">
        <f t="shared" si="19"/>
        <v>Muy baja</v>
      </c>
      <c r="AG167" s="145">
        <f>IF(Y167=[7]Listas!$G$53,AG166-(AG166*AB167),AG166)</f>
        <v>0.14399999999999999</v>
      </c>
      <c r="AH167" s="562"/>
      <c r="AI167" s="305" t="str">
        <f t="shared" si="21"/>
        <v>Moderado</v>
      </c>
      <c r="AJ167" s="145">
        <f>IF(Y167=[7]Listas!$G$55,AJ166-(AJ166*AB167),AJ166)</f>
        <v>0.6</v>
      </c>
      <c r="AK167" s="562"/>
      <c r="AL167" s="565"/>
      <c r="AM167" s="565"/>
      <c r="AN167" s="565"/>
      <c r="AO167" s="568"/>
      <c r="AP167" s="571"/>
      <c r="AQ167" s="332"/>
      <c r="AR167" s="185"/>
    </row>
    <row r="168" spans="2:59" ht="15" hidden="1" customHeight="1" thickTop="1" thickBot="1" x14ac:dyDescent="0.4">
      <c r="B168" s="870"/>
      <c r="C168" s="559"/>
      <c r="D168" s="745"/>
      <c r="E168" s="577"/>
      <c r="F168" s="646"/>
      <c r="G168" s="675"/>
      <c r="H168" s="814"/>
      <c r="I168" s="589"/>
      <c r="J168" s="589"/>
      <c r="K168" s="832"/>
      <c r="L168" s="589"/>
      <c r="M168" s="595"/>
      <c r="N168" s="598"/>
      <c r="O168" s="601"/>
      <c r="P168" s="595"/>
      <c r="Q168" s="604"/>
      <c r="R168" s="601"/>
      <c r="S168" s="289"/>
      <c r="T168" s="607"/>
      <c r="U168" s="142" t="s">
        <v>215</v>
      </c>
      <c r="V168" s="415"/>
      <c r="W168" s="331"/>
      <c r="X168" s="320" t="str">
        <f>IF(W168=[7]Listas!$B$46,[7]Listas!$C$46,IF(W168=[7]Listas!$B$47,[7]Listas!$C$47,IF(W168=[7]Listas!$B$48,[7]Listas!$C$48,"")))</f>
        <v/>
      </c>
      <c r="Y168" s="321" t="str">
        <f>IF(OR(W168=[7]Listas!$F$53,W168=[7]Listas!$F$54),[7]Listas!$G$53,IF(W168=[7]Listas!$F$55,[7]Listas!$G$55,""))</f>
        <v/>
      </c>
      <c r="Z168" s="331"/>
      <c r="AA168" s="182" t="str">
        <f>+IF(Z168=[7]Listas!$E$46,[7]Listas!$F$46,IF(Z168=[7]Listas!$E$47,[7]Listas!$F$47,""))</f>
        <v/>
      </c>
      <c r="AB168" s="183" t="str">
        <f t="shared" si="23"/>
        <v/>
      </c>
      <c r="AC168" s="319"/>
      <c r="AD168" s="322"/>
      <c r="AE168" s="323"/>
      <c r="AF168" s="305" t="str">
        <f t="shared" si="19"/>
        <v>Muy baja</v>
      </c>
      <c r="AG168" s="145">
        <f>IF(Y168=[7]Listas!$G$53,AG167-(AG167*AB168),AG167)</f>
        <v>0.14399999999999999</v>
      </c>
      <c r="AH168" s="562"/>
      <c r="AI168" s="305" t="str">
        <f t="shared" si="21"/>
        <v>Moderado</v>
      </c>
      <c r="AJ168" s="145">
        <f>IF(Y168=[7]Listas!$G$55,AJ167-(AJ167*AB168),AJ167)</f>
        <v>0.6</v>
      </c>
      <c r="AK168" s="562"/>
      <c r="AL168" s="565"/>
      <c r="AM168" s="565"/>
      <c r="AN168" s="565"/>
      <c r="AO168" s="568"/>
      <c r="AP168" s="571"/>
      <c r="AQ168" s="333"/>
      <c r="AR168" s="185"/>
    </row>
    <row r="169" spans="2:59" ht="15" hidden="1" customHeight="1" thickTop="1" thickBot="1" x14ac:dyDescent="0.4">
      <c r="B169" s="870"/>
      <c r="C169" s="559"/>
      <c r="D169" s="745"/>
      <c r="E169" s="577"/>
      <c r="F169" s="646"/>
      <c r="G169" s="675"/>
      <c r="H169" s="814"/>
      <c r="I169" s="589"/>
      <c r="J169" s="589"/>
      <c r="K169" s="832"/>
      <c r="L169" s="589"/>
      <c r="M169" s="595"/>
      <c r="N169" s="598"/>
      <c r="O169" s="601"/>
      <c r="P169" s="595"/>
      <c r="Q169" s="604"/>
      <c r="R169" s="601"/>
      <c r="S169" s="289"/>
      <c r="T169" s="607"/>
      <c r="U169" s="142" t="s">
        <v>220</v>
      </c>
      <c r="V169" s="415"/>
      <c r="W169" s="331"/>
      <c r="X169" s="320" t="str">
        <f>IF(W169=[7]Listas!$B$46,[7]Listas!$C$46,IF(W169=[7]Listas!$B$47,[7]Listas!$C$47,IF(W169=[7]Listas!$B$48,[7]Listas!$C$48,"")))</f>
        <v/>
      </c>
      <c r="Y169" s="321" t="str">
        <f>IF(OR(W169=[7]Listas!$F$53,W169=[7]Listas!$F$54),[7]Listas!$G$53,IF(W169=[7]Listas!$F$55,[7]Listas!$G$55,""))</f>
        <v/>
      </c>
      <c r="Z169" s="331"/>
      <c r="AA169" s="182" t="str">
        <f>+IF(Z169=[7]Listas!$E$46,[7]Listas!$F$46,IF(Z169=[7]Listas!$E$47,[7]Listas!$F$47,""))</f>
        <v/>
      </c>
      <c r="AB169" s="183" t="str">
        <f t="shared" si="23"/>
        <v/>
      </c>
      <c r="AC169" s="319"/>
      <c r="AD169" s="322"/>
      <c r="AE169" s="323"/>
      <c r="AF169" s="305" t="str">
        <f t="shared" si="19"/>
        <v>Muy baja</v>
      </c>
      <c r="AG169" s="145">
        <f>IF(Y169=[7]Listas!$G$53,AG168-(AG168*AB169),AG168)</f>
        <v>0.14399999999999999</v>
      </c>
      <c r="AH169" s="562"/>
      <c r="AI169" s="305" t="str">
        <f t="shared" si="21"/>
        <v>Moderado</v>
      </c>
      <c r="AJ169" s="145">
        <f>IF(Y169=[7]Listas!$G$55,AJ168-(AJ168*AB169),AJ168)</f>
        <v>0.6</v>
      </c>
      <c r="AK169" s="562"/>
      <c r="AL169" s="565"/>
      <c r="AM169" s="565"/>
      <c r="AN169" s="565"/>
      <c r="AO169" s="568"/>
      <c r="AP169" s="571"/>
      <c r="AQ169" s="334"/>
      <c r="AR169" s="185"/>
    </row>
    <row r="170" spans="2:59" ht="15" hidden="1" customHeight="1" thickTop="1" thickBot="1" x14ac:dyDescent="0.4">
      <c r="B170" s="870"/>
      <c r="C170" s="559"/>
      <c r="D170" s="745"/>
      <c r="E170" s="577"/>
      <c r="F170" s="646"/>
      <c r="G170" s="675"/>
      <c r="H170" s="814"/>
      <c r="I170" s="589"/>
      <c r="J170" s="589"/>
      <c r="K170" s="832"/>
      <c r="L170" s="589"/>
      <c r="M170" s="595"/>
      <c r="N170" s="598"/>
      <c r="O170" s="601"/>
      <c r="P170" s="595"/>
      <c r="Q170" s="604"/>
      <c r="R170" s="601"/>
      <c r="S170" s="289"/>
      <c r="T170" s="607"/>
      <c r="U170" s="142" t="s">
        <v>223</v>
      </c>
      <c r="V170" s="415"/>
      <c r="W170" s="331"/>
      <c r="X170" s="320" t="str">
        <f>IF(W170=[7]Listas!$B$46,[7]Listas!$C$46,IF(W170=[7]Listas!$B$47,[7]Listas!$C$47,IF(W170=[7]Listas!$B$48,[7]Listas!$C$48,"")))</f>
        <v/>
      </c>
      <c r="Y170" s="321" t="str">
        <f>IF(OR(W170=[7]Listas!$F$53,W170=[7]Listas!$F$54),[7]Listas!$G$53,IF(W170=[7]Listas!$F$55,[7]Listas!$G$55,""))</f>
        <v/>
      </c>
      <c r="Z170" s="331"/>
      <c r="AA170" s="182" t="str">
        <f>+IF(Z170=[7]Listas!$E$46,[7]Listas!$F$46,IF(Z170=[7]Listas!$E$47,[7]Listas!$F$47,""))</f>
        <v/>
      </c>
      <c r="AB170" s="183" t="str">
        <f t="shared" si="23"/>
        <v/>
      </c>
      <c r="AC170" s="319"/>
      <c r="AD170" s="322"/>
      <c r="AE170" s="323"/>
      <c r="AF170" s="305" t="str">
        <f t="shared" si="19"/>
        <v>Muy baja</v>
      </c>
      <c r="AG170" s="145">
        <f>IF(Y170=[7]Listas!$G$53,AG169-(AG169*AB170),AG169)</f>
        <v>0.14399999999999999</v>
      </c>
      <c r="AH170" s="562"/>
      <c r="AI170" s="305" t="str">
        <f t="shared" si="21"/>
        <v>Moderado</v>
      </c>
      <c r="AJ170" s="145">
        <f>IF(Y170=[7]Listas!$G$55,AJ169-(AJ169*AB170),AJ169)</f>
        <v>0.6</v>
      </c>
      <c r="AK170" s="562"/>
      <c r="AL170" s="565"/>
      <c r="AM170" s="565"/>
      <c r="AN170" s="565"/>
      <c r="AO170" s="568"/>
      <c r="AP170" s="571"/>
      <c r="AQ170" s="324"/>
      <c r="AR170" s="185"/>
    </row>
    <row r="171" spans="2:59" ht="15.75" hidden="1" customHeight="1" thickTop="1" thickBot="1" x14ac:dyDescent="0.4">
      <c r="B171" s="870"/>
      <c r="C171" s="559"/>
      <c r="D171" s="746"/>
      <c r="E171" s="578"/>
      <c r="F171" s="647"/>
      <c r="G171" s="676"/>
      <c r="H171" s="830"/>
      <c r="I171" s="590"/>
      <c r="J171" s="590"/>
      <c r="K171" s="833"/>
      <c r="L171" s="590"/>
      <c r="M171" s="596"/>
      <c r="N171" s="599"/>
      <c r="O171" s="602"/>
      <c r="P171" s="596"/>
      <c r="Q171" s="605"/>
      <c r="R171" s="602"/>
      <c r="S171" s="293"/>
      <c r="T171" s="608"/>
      <c r="U171" s="202" t="s">
        <v>224</v>
      </c>
      <c r="V171" s="416"/>
      <c r="W171" s="335"/>
      <c r="X171" s="336" t="str">
        <f>IF(W171=[7]Listas!$B$46,[7]Listas!$C$46,IF(W171=[7]Listas!$B$47,[7]Listas!$C$47,IF(W171=[7]Listas!$B$48,[7]Listas!$C$48,"")))</f>
        <v/>
      </c>
      <c r="Y171" s="337" t="str">
        <f>IF(OR(W171=[7]Listas!$F$53,W171=[7]Listas!$F$54),[7]Listas!$G$53,IF(W171=[7]Listas!$F$55,[7]Listas!$G$55,""))</f>
        <v/>
      </c>
      <c r="Z171" s="335"/>
      <c r="AA171" s="186" t="str">
        <f>+IF(Z171=[7]Listas!$E$46,[7]Listas!$F$46,IF(Z171=[7]Listas!$E$47,[7]Listas!$F$47,""))</f>
        <v/>
      </c>
      <c r="AB171" s="187" t="str">
        <f t="shared" si="23"/>
        <v/>
      </c>
      <c r="AC171" s="338"/>
      <c r="AD171" s="339"/>
      <c r="AE171" s="340"/>
      <c r="AF171" s="311" t="str">
        <f t="shared" si="19"/>
        <v>Muy baja</v>
      </c>
      <c r="AG171" s="179">
        <f>IF(Y171=[7]Listas!$G$53,AG170-(AG170*AB171),AG170)</f>
        <v>0.14399999999999999</v>
      </c>
      <c r="AH171" s="563"/>
      <c r="AI171" s="311" t="str">
        <f t="shared" si="21"/>
        <v>Moderado</v>
      </c>
      <c r="AJ171" s="179">
        <f>IF(Y171=[7]Listas!$G$55,AJ170-(AJ170*AB171),AJ170)</f>
        <v>0.6</v>
      </c>
      <c r="AK171" s="563"/>
      <c r="AL171" s="566"/>
      <c r="AM171" s="566"/>
      <c r="AN171" s="566"/>
      <c r="AO171" s="569"/>
      <c r="AP171" s="572"/>
      <c r="AQ171" s="341"/>
      <c r="AR171" s="188"/>
    </row>
    <row r="172" spans="2:59" ht="136.5" customHeight="1" thickTop="1" thickBot="1" x14ac:dyDescent="0.4">
      <c r="B172" s="870"/>
      <c r="C172" s="559"/>
      <c r="D172" s="744" t="s">
        <v>358</v>
      </c>
      <c r="E172" s="576" t="s">
        <v>5</v>
      </c>
      <c r="F172" s="677" t="s">
        <v>359</v>
      </c>
      <c r="G172" s="685" t="s">
        <v>360</v>
      </c>
      <c r="H172" s="688" t="s">
        <v>361</v>
      </c>
      <c r="I172" s="588" t="s">
        <v>20</v>
      </c>
      <c r="J172" s="588" t="s">
        <v>22</v>
      </c>
      <c r="K172" s="711" t="s">
        <v>362</v>
      </c>
      <c r="L172" s="588" t="s">
        <v>186</v>
      </c>
      <c r="M172" s="594" t="s">
        <v>214</v>
      </c>
      <c r="N172" s="597" t="str">
        <f>+IF(M172="","",IF(M172=$BO$15,$BN$15,IF(M172=$BO$16,$BN$16,IF(M172=$BO$17,$BN$17,IF(M172=$BO$18,$BN$18,IF(M172=$BO$19,$BN$19))))))</f>
        <v>Media</v>
      </c>
      <c r="O172" s="600">
        <f>+IF(M172="","",IF(M172=$BO$15,$BR$15,IF(M172=$BO$16,$BR$16,IF(M172=$BO$17,$BR$17,IF(M172=$BO$18,$BR$18,IF(M172=$BO$19,$BR$19))))))</f>
        <v>0.6</v>
      </c>
      <c r="P172" s="594" t="s">
        <v>195</v>
      </c>
      <c r="Q172" s="603" t="str">
        <f>+IF(P172="","",IF(P172='[7]Mapa de Calor inherente'!$AF$6,'[7]Mapa de Calor inherente'!$AD$6,IF(P172='[7]Mapa de Calor inherente'!$AF$7,'[7]Mapa de Calor inherente'!$AD$7,IF(P172='[7]Mapa de Calor inherente'!$AF$8,'[7]Mapa de Calor inherente'!$AD$8,IF(P172='[7]Mapa de Calor inherente'!$AF$9,'[7]Mapa de Calor inherente'!$AD$9,IF(P172='[7]Mapa de Calor inherente'!$AF$10,'[7]Mapa de Calor inherente'!$AD$10,IF(P172='[7]Mapa de Calor inherente'!$AG$6,'[7]Mapa de Calor inherente'!$AD$6,IF(P172='[7]Mapa de Calor inherente'!$AG$7,'[7]Mapa de Calor inherente'!$AD$7,IF(P172='[7]Mapa de Calor inherente'!$AG$8,'[7]Mapa de Calor inherente'!$AD$8,IF(P172='[7]Mapa de Calor inherente'!$AG$9,'[7]Mapa de Calor inherente'!$AD$9,IF(P172='[7]Mapa de Calor inherente'!$AG$10,'[7]Mapa de Calor inherente'!$AD$10,IF(P172='[7]Mapa de Calor inherente'!$AD$8,'[7]Mapa de Calor inherente'!$AD$8,IF(P172='[7]Mapa de Calor inherente'!$AD$9,'[7]Mapa de Calor inherente'!$AD$9,IF(P172='[7]Mapa de Calor inherente'!$AD$10,'[7]Mapa de Calor inherente'!$AD$10))))))))))))))</f>
        <v>Leve</v>
      </c>
      <c r="R172" s="600">
        <f>+IF(P172="","",IF(P172='[7]Mapa de Calor inherente'!$AF$6,'[7]Mapa de Calor inherente'!$AE$6,IF(P172='[7]Mapa de Calor inherente'!$AF$7,'[7]Mapa de Calor inherente'!$AE$7,IF(P172='[7]Mapa de Calor inherente'!$AF$8,'[7]Mapa de Calor inherente'!$AE$8,IF(P172='[7]Mapa de Calor inherente'!$AF$9,'[7]Mapa de Calor inherente'!$AE$9,IF(P172='[7]Mapa de Calor inherente'!$AF$10,'[7]Mapa de Calor inherente'!$AE$10,IF(P172='[7]Mapa de Calor inherente'!$AG$6,'[7]Mapa de Calor inherente'!$AE$6,IF(P172='[7]Mapa de Calor inherente'!$AG$7,'[7]Mapa de Calor inherente'!$AE$7,IF(P172='[7]Mapa de Calor inherente'!$AG$8,'[7]Mapa de Calor inherente'!$AE$8,IF(P172='[7]Mapa de Calor inherente'!$AG$9,'[7]Mapa de Calor inherente'!$AE$9,IF(P172='[7]Mapa de Calor inherente'!$AG$10,'[7]Mapa de Calor inherente'!$AE$10,IF(P172='[7]Mapa de Calor inherente'!$AD$8,'[7]Mapa de Calor inherente'!$AE$8,IF(P172='[7]Mapa de Calor inherente'!$AD$9,'[7]Mapa de Calor inherente'!$AE$9,IF(P172='[7]Mapa de Calor inherente'!$AD$10,'[7]Mapa de Calor inherente'!$AE$10))))))))))))))</f>
        <v>0.2</v>
      </c>
      <c r="S172" s="292"/>
      <c r="T172" s="603" t="str">
        <f>+IF(N172=$BB$17,IF(Q172=$BC$16,$BC$17,IF(Q172=$BD$16,$BD$17,IF(Q172=$BE$16,$BE$17,IF(Q172=$BF$16,$BF$17,IF(Q172=$BG$16,$BG$17))))),IF(N172=$BB$18,IF(Q172=$BC$16,$BC$18,IF(Q172=$BD$16,$BD$18,IF(Q172=$BE$16,$BE$18,IF(Q172=$BF$16,$BF$18,IF(Q172=$BG$16,$BG$18))))),IF(N172=$BB$19,IF(Q172=$BC$16,$BC$19,IF(Q172=$BD$16,$BD$19,IF(Q172=$BE$16,$BE$19,IF(Q172=$BF$16,$BF$19,IF(Q172=$BG$16,$BG$19))))),IF(N172=$BB$20,IF(Q172=$BC$16,$BC$20,IF(Q172=$BD$16,$BD$20,IF(Q172=$BE$16,$BE$20,IF(Q172=$BF$16,$BF$20,IF(Q172=$BG$16,$BG$20))))),IF(N172=$BB$21,IF(Q172=$BC$16,$BC$21,IF(Q172=$BD$16,$BD$21,IF(Q172=$BE$16,$BE$21,IF(Q172=$BF$16,$BF$21,IF(Q172=$BG$16,$BG$21))))),"")))))</f>
        <v>Moderado</v>
      </c>
      <c r="U172" s="139" t="s">
        <v>171</v>
      </c>
      <c r="V172" s="435" t="s">
        <v>363</v>
      </c>
      <c r="W172" s="313" t="s">
        <v>40</v>
      </c>
      <c r="X172" s="314">
        <f>IF(W172=[7]Listas!$B$46,[7]Listas!$C$46,IF(W172=[7]Listas!$B$47,[7]Listas!$C$47,IF(W172=[7]Listas!$B$48,[7]Listas!$C$48,"")))</f>
        <v>0.25</v>
      </c>
      <c r="Y172" s="315" t="str">
        <f>IF(OR(W172=[7]Listas!$F$53,W172=[7]Listas!$F$54),[7]Listas!$G$53,IF(W172=[7]Listas!$F$55,[7]Listas!$G$55,""))</f>
        <v>Probabilidad</v>
      </c>
      <c r="Z172" s="313" t="s">
        <v>43</v>
      </c>
      <c r="AA172" s="314">
        <f>+IF(Z172=[7]Listas!$E$46,[7]Listas!$F$46,IF(Z172=[7]Listas!$E$47,[7]Listas!$F$47,""))</f>
        <v>0.15</v>
      </c>
      <c r="AB172" s="181">
        <f>IFERROR(X172+AA172,"")</f>
        <v>0.4</v>
      </c>
      <c r="AC172" s="313" t="s">
        <v>57</v>
      </c>
      <c r="AD172" s="313" t="s">
        <v>58</v>
      </c>
      <c r="AE172" s="317" t="s">
        <v>59</v>
      </c>
      <c r="AF172" s="299" t="str">
        <f t="shared" si="19"/>
        <v>Baja</v>
      </c>
      <c r="AG172" s="141">
        <f>IF(Y172=[7]Listas!$G$53,O172-(O172*AB172),O172)</f>
        <v>0.36</v>
      </c>
      <c r="AH172" s="561">
        <f>+IF(AG181="","",AG181)</f>
        <v>0.36</v>
      </c>
      <c r="AI172" s="299" t="str">
        <f>IF(AJ172="","",IF(AJ172&lt;=20%,"Leve",IF(AJ172&lt;=40%,"Menor",IF(AJ172&lt;=60%,"Moderado",IF(AJ172&lt;=80%,"Mayor","Catastrófico")))))</f>
        <v>Leve</v>
      </c>
      <c r="AJ172" s="141">
        <f>IF(Y172=[7]Listas!$G$55,R172-(R172*AB172),R172)</f>
        <v>0.2</v>
      </c>
      <c r="AK172" s="561">
        <f>+IF(AJ181="","",AJ181)</f>
        <v>0.2</v>
      </c>
      <c r="AL172" s="564" t="str">
        <f>+IF(AH172=0,"",IF(AH172&lt;=$BA$21,$BB$21,IF(AH172&lt;=$BA$20,$BB$20,IF(AH172&lt;=$BA$19,$BB$19,IF(AH172&lt;=$BA$18,$BB$18,IF(AH172&lt;=$BA$17,$BB$17,""))))))</f>
        <v>Baja</v>
      </c>
      <c r="AM172" s="564" t="str">
        <f>+IF(AK172=0,"",IF(AK172&lt;=$BC$15,$BC$16,IF(AK172&lt;=$BD$15,$BD$16,IF(AK172&lt;=$BE$15,$BE$16,IF(AK172&lt;=$BF$15,$BF$16,IF(AK172&lt;=$BG$15,$BG$16,""))))))</f>
        <v>Leve</v>
      </c>
      <c r="AN172" s="564" t="str">
        <f>IF(AL172=$BB$17,IF(AM172=$BC$16,$BC$17,IF(AM172=$BD$16,$BD$17,IF(AM172=$BE$16,$BE$17,IF(AM172=$BF$16,$BF$17,IF(AM172=$BG$16,$BG$17))))),IF(AL172=$BB$18,IF(AM172=$BC$16,$BC$18,IF(AM172=$BD$16,$BD$18,IF(AM172=$BE$16,$BE$18,IF(AM172=$BF$16,$BF$18,IF(AM172=$BG$16,$BG$18))))),IF(AL172=$BB$19,IF(AM172=$BC$16,$BC$19,IF(AM172=$BD$16,$BD$19,IF(AM172=$BE$16,$BE$19,IF(AM172=$BF$16,$BF$19,IF(AM172=$BG$16,$BG$19))))),IF(AL172=$BB$20,IF(AM172=$BC$16,$BC$20,IF(AM172=$BD$16,$BD$20,IF(AM172=$BE$16,$BE$20,IF(AM172=$BF$16,$BF$20,IF(AM172=$BG$16,$BG$20))))),IF(AL172=$BB$21,IF(AM172=$BC$16,$BC$21,IF(AM172=$BD$16,$BD$21,IF(AM172=$BE$16,$BE$21,IF(AM172=$BF$16,$BF$21,IF(AM172=$BG$16,$BG$21))))),"")))))</f>
        <v>Bajo</v>
      </c>
      <c r="AO172" s="567" t="str">
        <f>IF(AP172="","",IF(AP172=[7]Listas!$F$61,[7]Listas!$G$61,IF(AP172=[7]Listas!$F$63,[7]Listas!$G$63,IF(AP172=[7]Listas!$F$64,[7]Listas!$G$64))))</f>
        <v>No requiere Plan de Acción</v>
      </c>
      <c r="AP172" s="570" t="str">
        <f>IF(AN172="","",IF(OR(AN172=[7]Listas!$E$61,AN172=[7]Listas!$E$62),[7]Listas!$F$61,IF(AN172=[7]Listas!$E$63,[7]Listas!$F$63,IF(AN172=[7]Listas!$E$64,[7]Listas!$F$64))))</f>
        <v>Aceptar  el riesgo</v>
      </c>
      <c r="AQ172" s="342" t="s">
        <v>90</v>
      </c>
      <c r="AR172" s="119" t="s">
        <v>364</v>
      </c>
    </row>
    <row r="173" spans="2:59" ht="15" hidden="1" customHeight="1" thickTop="1" thickBot="1" x14ac:dyDescent="0.4">
      <c r="B173" s="870"/>
      <c r="C173" s="280"/>
      <c r="D173" s="745"/>
      <c r="E173" s="577"/>
      <c r="F173" s="678"/>
      <c r="G173" s="686"/>
      <c r="H173" s="689"/>
      <c r="I173" s="589"/>
      <c r="J173" s="589"/>
      <c r="K173" s="712"/>
      <c r="L173" s="589"/>
      <c r="M173" s="595"/>
      <c r="N173" s="598"/>
      <c r="O173" s="601"/>
      <c r="P173" s="595"/>
      <c r="Q173" s="604"/>
      <c r="R173" s="601"/>
      <c r="S173" s="286"/>
      <c r="T173" s="604"/>
      <c r="U173" s="142" t="s">
        <v>174</v>
      </c>
      <c r="V173" s="421"/>
      <c r="W173" s="331"/>
      <c r="X173" s="320" t="str">
        <f>IF(W173=[7]Listas!$B$46,[7]Listas!$C$46,IF(W173=[7]Listas!$B$47,[7]Listas!$C$47,IF(W173=[7]Listas!$B$48,[7]Listas!$C$48,"")))</f>
        <v/>
      </c>
      <c r="Y173" s="321" t="str">
        <f>IF(OR(W173=[7]Listas!$F$53,W173=[7]Listas!$F$54),[7]Listas!$G$53,IF(W173=[7]Listas!$F$55,[7]Listas!$G$55,""))</f>
        <v/>
      </c>
      <c r="Z173" s="331"/>
      <c r="AA173" s="182" t="str">
        <f>+IF(Z173=[7]Listas!$E$46,[7]Listas!$F$46,IF(Z173=[7]Listas!$E$47,[7]Listas!$F$47,""))</f>
        <v/>
      </c>
      <c r="AB173" s="183" t="str">
        <f>IFERROR(X173+AA173,"")</f>
        <v/>
      </c>
      <c r="AC173" s="319"/>
      <c r="AD173" s="319"/>
      <c r="AE173" s="323"/>
      <c r="AF173" s="305" t="str">
        <f t="shared" si="19"/>
        <v>Baja</v>
      </c>
      <c r="AG173" s="145">
        <f>IF(Y173=[7]Listas!$G$53,AG172-(AG172*AB173),AG172)</f>
        <v>0.36</v>
      </c>
      <c r="AH173" s="562"/>
      <c r="AI173" s="305" t="str">
        <f t="shared" si="21"/>
        <v>Leve</v>
      </c>
      <c r="AJ173" s="145">
        <f>IF(Y173=[7]Listas!$G$55,AJ172-(AJ172*AB173),AJ172)</f>
        <v>0.2</v>
      </c>
      <c r="AK173" s="562"/>
      <c r="AL173" s="565"/>
      <c r="AM173" s="565"/>
      <c r="AN173" s="565"/>
      <c r="AO173" s="568"/>
      <c r="AP173" s="571"/>
      <c r="AQ173" s="343"/>
      <c r="AR173" s="191"/>
    </row>
    <row r="174" spans="2:59" ht="15" hidden="1" customHeight="1" thickTop="1" thickBot="1" x14ac:dyDescent="0.4">
      <c r="B174" s="870"/>
      <c r="C174" s="280"/>
      <c r="D174" s="745"/>
      <c r="E174" s="577"/>
      <c r="F174" s="678"/>
      <c r="G174" s="686"/>
      <c r="H174" s="689"/>
      <c r="I174" s="589"/>
      <c r="J174" s="589"/>
      <c r="K174" s="712"/>
      <c r="L174" s="589"/>
      <c r="M174" s="595"/>
      <c r="N174" s="598"/>
      <c r="O174" s="601"/>
      <c r="P174" s="595"/>
      <c r="Q174" s="604"/>
      <c r="R174" s="601"/>
      <c r="S174" s="287"/>
      <c r="T174" s="604"/>
      <c r="U174" s="142" t="s">
        <v>180</v>
      </c>
      <c r="V174" s="415"/>
      <c r="W174" s="331"/>
      <c r="X174" s="320" t="str">
        <f>IF(W174=[7]Listas!$B$46,[7]Listas!$C$46,IF(W174=[7]Listas!$B$47,[7]Listas!$C$47,IF(W174=[7]Listas!$B$48,[7]Listas!$C$48,"")))</f>
        <v/>
      </c>
      <c r="Y174" s="321" t="str">
        <f>IF(OR(W174=[7]Listas!$F$53,W174=[7]Listas!$F$54),[7]Listas!$G$53,IF(W174=[7]Listas!$F$55,[7]Listas!$G$55,""))</f>
        <v/>
      </c>
      <c r="Z174" s="331"/>
      <c r="AA174" s="182" t="str">
        <f>+IF(Z174=[7]Listas!$E$46,[7]Listas!$F$46,IF(Z174=[7]Listas!$E$47,[7]Listas!$F$47,""))</f>
        <v/>
      </c>
      <c r="AB174" s="183" t="str">
        <f>IFERROR(X174+AA174,"")</f>
        <v/>
      </c>
      <c r="AC174" s="319"/>
      <c r="AD174" s="319"/>
      <c r="AE174" s="323"/>
      <c r="AF174" s="305" t="str">
        <f t="shared" si="19"/>
        <v>Baja</v>
      </c>
      <c r="AG174" s="145">
        <f>IF(Y174=[7]Listas!$G$53,AG173-(AG173*AB174),AG173)</f>
        <v>0.36</v>
      </c>
      <c r="AH174" s="562"/>
      <c r="AI174" s="305" t="str">
        <f t="shared" si="21"/>
        <v>Leve</v>
      </c>
      <c r="AJ174" s="145">
        <f>IF(Y174=[7]Listas!$G$55,AJ173-(AJ173*AB174),AJ173)</f>
        <v>0.2</v>
      </c>
      <c r="AK174" s="562"/>
      <c r="AL174" s="565"/>
      <c r="AM174" s="565"/>
      <c r="AN174" s="565"/>
      <c r="AO174" s="568"/>
      <c r="AP174" s="571"/>
      <c r="AQ174" s="343"/>
      <c r="AR174" s="191"/>
    </row>
    <row r="175" spans="2:59" ht="15" hidden="1" customHeight="1" thickTop="1" thickBot="1" x14ac:dyDescent="0.4">
      <c r="B175" s="870"/>
      <c r="C175" s="280"/>
      <c r="D175" s="745"/>
      <c r="E175" s="577"/>
      <c r="F175" s="678"/>
      <c r="G175" s="686"/>
      <c r="H175" s="689"/>
      <c r="I175" s="589"/>
      <c r="J175" s="589"/>
      <c r="K175" s="712"/>
      <c r="L175" s="589"/>
      <c r="M175" s="595"/>
      <c r="N175" s="598"/>
      <c r="O175" s="601"/>
      <c r="P175" s="595"/>
      <c r="Q175" s="604"/>
      <c r="R175" s="601"/>
      <c r="S175" s="287"/>
      <c r="T175" s="604"/>
      <c r="U175" s="142" t="s">
        <v>190</v>
      </c>
      <c r="V175" s="415"/>
      <c r="W175" s="331"/>
      <c r="X175" s="320" t="str">
        <f>IF(W175=[7]Listas!$B$46,[7]Listas!$C$46,IF(W175=[7]Listas!$B$47,[7]Listas!$C$47,IF(W175=[7]Listas!$B$48,[7]Listas!$C$48,"")))</f>
        <v/>
      </c>
      <c r="Y175" s="321" t="str">
        <f>IF(OR(W175=[7]Listas!$F$53,W175=[7]Listas!$F$54),[7]Listas!$G$53,IF(W175=[7]Listas!$F$55,[7]Listas!$G$55,""))</f>
        <v/>
      </c>
      <c r="Z175" s="331"/>
      <c r="AA175" s="182" t="str">
        <f>+IF(Z175=[7]Listas!$E$46,[7]Listas!$F$46,IF(Z175=[7]Listas!$E$47,[7]Listas!$F$47,""))</f>
        <v/>
      </c>
      <c r="AB175" s="183" t="str">
        <f t="shared" ref="AB175:AB181" si="24">IFERROR(X175+AA175,"")</f>
        <v/>
      </c>
      <c r="AC175" s="319"/>
      <c r="AD175" s="319"/>
      <c r="AE175" s="323"/>
      <c r="AF175" s="305" t="str">
        <f t="shared" si="19"/>
        <v>Baja</v>
      </c>
      <c r="AG175" s="145">
        <f>IF(Y175=[7]Listas!$G$53,AG174-(AG174*AB175),AG174)</f>
        <v>0.36</v>
      </c>
      <c r="AH175" s="562"/>
      <c r="AI175" s="305" t="str">
        <f t="shared" si="21"/>
        <v>Leve</v>
      </c>
      <c r="AJ175" s="145">
        <f>IF(Y175=[7]Listas!$G$55,AJ174-(AJ174*AB175),AJ174)</f>
        <v>0.2</v>
      </c>
      <c r="AK175" s="562"/>
      <c r="AL175" s="565"/>
      <c r="AM175" s="565"/>
      <c r="AN175" s="565"/>
      <c r="AO175" s="568"/>
      <c r="AP175" s="571"/>
      <c r="AQ175" s="344"/>
      <c r="AR175" s="191"/>
    </row>
    <row r="176" spans="2:59" ht="15" hidden="1" customHeight="1" thickTop="1" thickBot="1" x14ac:dyDescent="0.4">
      <c r="B176" s="870"/>
      <c r="C176" s="280"/>
      <c r="D176" s="745"/>
      <c r="E176" s="577"/>
      <c r="F176" s="678"/>
      <c r="G176" s="686"/>
      <c r="H176" s="689"/>
      <c r="I176" s="589"/>
      <c r="J176" s="589"/>
      <c r="K176" s="712"/>
      <c r="L176" s="589"/>
      <c r="M176" s="595"/>
      <c r="N176" s="598"/>
      <c r="O176" s="601"/>
      <c r="P176" s="595"/>
      <c r="Q176" s="604"/>
      <c r="R176" s="601"/>
      <c r="S176" s="287"/>
      <c r="T176" s="604"/>
      <c r="U176" s="142" t="s">
        <v>198</v>
      </c>
      <c r="V176" s="415"/>
      <c r="W176" s="331"/>
      <c r="X176" s="320" t="str">
        <f>IF(W176=[7]Listas!$B$46,[7]Listas!$C$46,IF(W176=[7]Listas!$B$47,[7]Listas!$C$47,IF(W176=[7]Listas!$B$48,[7]Listas!$C$48,"")))</f>
        <v/>
      </c>
      <c r="Y176" s="321" t="str">
        <f>IF(OR(W176=[7]Listas!$F$53,W176=[7]Listas!$F$54),[7]Listas!$G$53,IF(W176=[7]Listas!$F$55,[7]Listas!$G$55,""))</f>
        <v/>
      </c>
      <c r="Z176" s="331"/>
      <c r="AA176" s="182" t="str">
        <f>+IF(Z176=[7]Listas!$E$46,[7]Listas!$F$46,IF(Z176=[7]Listas!$E$47,[7]Listas!$F$47,""))</f>
        <v/>
      </c>
      <c r="AB176" s="183" t="str">
        <f t="shared" si="24"/>
        <v/>
      </c>
      <c r="AC176" s="319"/>
      <c r="AD176" s="319"/>
      <c r="AE176" s="323"/>
      <c r="AF176" s="305" t="str">
        <f t="shared" si="19"/>
        <v>Baja</v>
      </c>
      <c r="AG176" s="145">
        <f>IF(Y176=[7]Listas!$G$53,AG175-(AG175*AB176),AG175)</f>
        <v>0.36</v>
      </c>
      <c r="AH176" s="562"/>
      <c r="AI176" s="305" t="str">
        <f t="shared" si="21"/>
        <v>Leve</v>
      </c>
      <c r="AJ176" s="145">
        <f>IF(Y176=[7]Listas!$G$55,AJ175-(AJ175*AB176),AJ175)</f>
        <v>0.2</v>
      </c>
      <c r="AK176" s="562"/>
      <c r="AL176" s="565"/>
      <c r="AM176" s="565"/>
      <c r="AN176" s="565"/>
      <c r="AO176" s="568"/>
      <c r="AP176" s="571"/>
      <c r="AQ176" s="343"/>
      <c r="AR176" s="191"/>
    </row>
    <row r="177" spans="2:70" ht="15.75" hidden="1" customHeight="1" thickTop="1" thickBot="1" x14ac:dyDescent="0.4">
      <c r="B177" s="870"/>
      <c r="C177" s="280"/>
      <c r="D177" s="745"/>
      <c r="E177" s="577"/>
      <c r="F177" s="678"/>
      <c r="G177" s="686"/>
      <c r="H177" s="689"/>
      <c r="I177" s="589"/>
      <c r="J177" s="589"/>
      <c r="K177" s="712"/>
      <c r="L177" s="589"/>
      <c r="M177" s="595"/>
      <c r="N177" s="598"/>
      <c r="O177" s="601"/>
      <c r="P177" s="595"/>
      <c r="Q177" s="604"/>
      <c r="R177" s="601"/>
      <c r="S177" s="288"/>
      <c r="T177" s="604"/>
      <c r="U177" s="142" t="s">
        <v>208</v>
      </c>
      <c r="V177" s="415"/>
      <c r="W177" s="331"/>
      <c r="X177" s="320" t="str">
        <f>IF(W177=[7]Listas!$B$46,[7]Listas!$C$46,IF(W177=[7]Listas!$B$47,[7]Listas!$C$47,IF(W177=[7]Listas!$B$48,[7]Listas!$C$48,"")))</f>
        <v/>
      </c>
      <c r="Y177" s="321" t="str">
        <f>IF(OR(W177=[7]Listas!$F$53,W177=[7]Listas!$F$54),[7]Listas!$G$53,IF(W177=[7]Listas!$F$55,[7]Listas!$G$55,""))</f>
        <v/>
      </c>
      <c r="Z177" s="331"/>
      <c r="AA177" s="182" t="str">
        <f>+IF(Z177=[7]Listas!$E$46,[7]Listas!$F$46,IF(Z177=[7]Listas!$E$47,[7]Listas!$F$47,""))</f>
        <v/>
      </c>
      <c r="AB177" s="183" t="str">
        <f t="shared" si="24"/>
        <v/>
      </c>
      <c r="AC177" s="319"/>
      <c r="AD177" s="319"/>
      <c r="AE177" s="323"/>
      <c r="AF177" s="305" t="str">
        <f t="shared" si="19"/>
        <v>Baja</v>
      </c>
      <c r="AG177" s="145">
        <f>IF(Y177=[7]Listas!$G$53,AG176-(AG176*AB177),AG176)</f>
        <v>0.36</v>
      </c>
      <c r="AH177" s="562"/>
      <c r="AI177" s="305" t="str">
        <f t="shared" si="21"/>
        <v>Leve</v>
      </c>
      <c r="AJ177" s="145">
        <f>IF(Y177=[7]Listas!$G$55,AJ176-(AJ176*AB177),AJ176)</f>
        <v>0.2</v>
      </c>
      <c r="AK177" s="562"/>
      <c r="AL177" s="565"/>
      <c r="AM177" s="565"/>
      <c r="AN177" s="565"/>
      <c r="AO177" s="568"/>
      <c r="AP177" s="571"/>
      <c r="AQ177" s="344"/>
      <c r="AR177" s="191"/>
    </row>
    <row r="178" spans="2:70" ht="15" hidden="1" customHeight="1" thickTop="1" thickBot="1" x14ac:dyDescent="0.4">
      <c r="B178" s="870"/>
      <c r="C178" s="280"/>
      <c r="D178" s="745"/>
      <c r="E178" s="577"/>
      <c r="F178" s="678"/>
      <c r="G178" s="686"/>
      <c r="H178" s="689"/>
      <c r="I178" s="589"/>
      <c r="J178" s="589"/>
      <c r="K178" s="712"/>
      <c r="L178" s="589"/>
      <c r="M178" s="595"/>
      <c r="N178" s="598"/>
      <c r="O178" s="601"/>
      <c r="P178" s="595"/>
      <c r="Q178" s="604"/>
      <c r="R178" s="601"/>
      <c r="S178" s="289"/>
      <c r="T178" s="604"/>
      <c r="U178" s="142" t="s">
        <v>215</v>
      </c>
      <c r="V178" s="418"/>
      <c r="W178" s="331"/>
      <c r="X178" s="320" t="str">
        <f>IF(W178=[7]Listas!$B$46,[7]Listas!$C$46,IF(W178=[7]Listas!$B$47,[7]Listas!$C$47,IF(W178=[7]Listas!$B$48,[7]Listas!$C$48,"")))</f>
        <v/>
      </c>
      <c r="Y178" s="321" t="str">
        <f>IF(OR(W178=[7]Listas!$F$53,W178=[7]Listas!$F$54),[7]Listas!$G$53,IF(W178=[7]Listas!$F$55,[7]Listas!$G$55,""))</f>
        <v/>
      </c>
      <c r="Z178" s="331"/>
      <c r="AA178" s="182" t="str">
        <f>+IF(Z178=[7]Listas!$E$46,[7]Listas!$F$46,IF(Z178=[7]Listas!$E$47,[7]Listas!$F$47,""))</f>
        <v/>
      </c>
      <c r="AB178" s="183" t="str">
        <f t="shared" si="24"/>
        <v/>
      </c>
      <c r="AC178" s="319"/>
      <c r="AD178" s="322"/>
      <c r="AE178" s="323"/>
      <c r="AF178" s="305" t="str">
        <f t="shared" si="19"/>
        <v>Baja</v>
      </c>
      <c r="AG178" s="145">
        <f>IF(Y178=[7]Listas!$G$53,AG177-(AG177*AB178),AG177)</f>
        <v>0.36</v>
      </c>
      <c r="AH178" s="562"/>
      <c r="AI178" s="305" t="str">
        <f t="shared" si="21"/>
        <v>Leve</v>
      </c>
      <c r="AJ178" s="145">
        <f>IF(Y178=[7]Listas!$G$55,AJ177-(AJ177*AB178),AJ177)</f>
        <v>0.2</v>
      </c>
      <c r="AK178" s="562"/>
      <c r="AL178" s="565"/>
      <c r="AM178" s="565"/>
      <c r="AN178" s="565"/>
      <c r="AO178" s="568"/>
      <c r="AP178" s="571"/>
      <c r="AQ178" s="345"/>
      <c r="AR178" s="191"/>
    </row>
    <row r="179" spans="2:70" ht="15" hidden="1" customHeight="1" thickTop="1" thickBot="1" x14ac:dyDescent="0.4">
      <c r="B179" s="870"/>
      <c r="C179" s="280"/>
      <c r="D179" s="745"/>
      <c r="E179" s="577"/>
      <c r="F179" s="678"/>
      <c r="G179" s="686"/>
      <c r="H179" s="689"/>
      <c r="I179" s="589"/>
      <c r="J179" s="589"/>
      <c r="K179" s="712"/>
      <c r="L179" s="589"/>
      <c r="M179" s="595"/>
      <c r="N179" s="598"/>
      <c r="O179" s="601"/>
      <c r="P179" s="595"/>
      <c r="Q179" s="604"/>
      <c r="R179" s="601"/>
      <c r="S179" s="289"/>
      <c r="T179" s="604"/>
      <c r="U179" s="142" t="s">
        <v>220</v>
      </c>
      <c r="V179" s="418"/>
      <c r="W179" s="331"/>
      <c r="X179" s="320" t="str">
        <f>IF(W179=[7]Listas!$B$46,[7]Listas!$C$46,IF(W179=[7]Listas!$B$47,[7]Listas!$C$47,IF(W179=[7]Listas!$B$48,[7]Listas!$C$48,"")))</f>
        <v/>
      </c>
      <c r="Y179" s="321" t="str">
        <f>IF(OR(W179=[7]Listas!$F$53,W179=[7]Listas!$F$54),[7]Listas!$G$53,IF(W179=[7]Listas!$F$55,[7]Listas!$G$55,""))</f>
        <v/>
      </c>
      <c r="Z179" s="331"/>
      <c r="AA179" s="182" t="str">
        <f>+IF(Z179=[7]Listas!$E$46,[7]Listas!$F$46,IF(Z179=[7]Listas!$E$47,[7]Listas!$F$47,""))</f>
        <v/>
      </c>
      <c r="AB179" s="183" t="str">
        <f t="shared" si="24"/>
        <v/>
      </c>
      <c r="AC179" s="319"/>
      <c r="AD179" s="322"/>
      <c r="AE179" s="323"/>
      <c r="AF179" s="305" t="str">
        <f t="shared" si="19"/>
        <v>Baja</v>
      </c>
      <c r="AG179" s="145">
        <f>IF(Y179=[7]Listas!$G$53,AG178-(AG178*AB179),AG178)</f>
        <v>0.36</v>
      </c>
      <c r="AH179" s="562"/>
      <c r="AI179" s="305" t="str">
        <f t="shared" si="21"/>
        <v>Leve</v>
      </c>
      <c r="AJ179" s="145">
        <f>IF(Y179=[7]Listas!$G$55,AJ178-(AJ178*AB179),AJ178)</f>
        <v>0.2</v>
      </c>
      <c r="AK179" s="562"/>
      <c r="AL179" s="565"/>
      <c r="AM179" s="565"/>
      <c r="AN179" s="565"/>
      <c r="AO179" s="568"/>
      <c r="AP179" s="571"/>
      <c r="AQ179" s="343"/>
      <c r="AR179" s="191"/>
    </row>
    <row r="180" spans="2:70" ht="15" hidden="1" customHeight="1" thickTop="1" thickBot="1" x14ac:dyDescent="0.4">
      <c r="B180" s="870"/>
      <c r="C180" s="280"/>
      <c r="D180" s="745"/>
      <c r="E180" s="577"/>
      <c r="F180" s="678"/>
      <c r="G180" s="686"/>
      <c r="H180" s="689"/>
      <c r="I180" s="589"/>
      <c r="J180" s="589"/>
      <c r="K180" s="712"/>
      <c r="L180" s="589"/>
      <c r="M180" s="595"/>
      <c r="N180" s="598"/>
      <c r="O180" s="601"/>
      <c r="P180" s="595"/>
      <c r="Q180" s="604"/>
      <c r="R180" s="601"/>
      <c r="S180" s="289"/>
      <c r="T180" s="604"/>
      <c r="U180" s="142" t="s">
        <v>223</v>
      </c>
      <c r="V180" s="418"/>
      <c r="W180" s="331"/>
      <c r="X180" s="320" t="str">
        <f>IF(W180=[7]Listas!$B$46,[7]Listas!$C$46,IF(W180=[7]Listas!$B$47,[7]Listas!$C$47,IF(W180=[7]Listas!$B$48,[7]Listas!$C$48,"")))</f>
        <v/>
      </c>
      <c r="Y180" s="321" t="str">
        <f>IF(OR(W180=[7]Listas!$F$53,W180=[7]Listas!$F$54),[7]Listas!$G$53,IF(W180=[7]Listas!$F$55,[7]Listas!$G$55,""))</f>
        <v/>
      </c>
      <c r="Z180" s="331"/>
      <c r="AA180" s="182" t="str">
        <f>+IF(Z180=[7]Listas!$E$46,[7]Listas!$F$46,IF(Z180=[7]Listas!$E$47,[7]Listas!$F$47,""))</f>
        <v/>
      </c>
      <c r="AB180" s="183" t="str">
        <f t="shared" si="24"/>
        <v/>
      </c>
      <c r="AC180" s="319"/>
      <c r="AD180" s="322"/>
      <c r="AE180" s="323"/>
      <c r="AF180" s="305" t="str">
        <f t="shared" si="19"/>
        <v>Baja</v>
      </c>
      <c r="AG180" s="145">
        <f>IF(Y180=[7]Listas!$G$53,AG179-(AG179*AB180),AG179)</f>
        <v>0.36</v>
      </c>
      <c r="AH180" s="562"/>
      <c r="AI180" s="305" t="str">
        <f t="shared" si="21"/>
        <v>Leve</v>
      </c>
      <c r="AJ180" s="145">
        <f>IF(Y180=[7]Listas!$G$55,AJ179-(AJ179*AB180),AJ179)</f>
        <v>0.2</v>
      </c>
      <c r="AK180" s="562"/>
      <c r="AL180" s="565"/>
      <c r="AM180" s="565"/>
      <c r="AN180" s="565"/>
      <c r="AO180" s="568"/>
      <c r="AP180" s="571"/>
      <c r="AQ180" s="344"/>
      <c r="AR180" s="191"/>
    </row>
    <row r="181" spans="2:70" ht="15.75" hidden="1" customHeight="1" thickTop="1" thickBot="1" x14ac:dyDescent="0.4">
      <c r="B181" s="870"/>
      <c r="C181" s="280"/>
      <c r="D181" s="746"/>
      <c r="E181" s="578"/>
      <c r="F181" s="679"/>
      <c r="G181" s="687"/>
      <c r="H181" s="690"/>
      <c r="I181" s="590"/>
      <c r="J181" s="590"/>
      <c r="K181" s="713"/>
      <c r="L181" s="590"/>
      <c r="M181" s="596"/>
      <c r="N181" s="599"/>
      <c r="O181" s="602"/>
      <c r="P181" s="596"/>
      <c r="Q181" s="605"/>
      <c r="R181" s="602"/>
      <c r="S181" s="293"/>
      <c r="T181" s="605"/>
      <c r="U181" s="202" t="s">
        <v>224</v>
      </c>
      <c r="V181" s="416"/>
      <c r="W181" s="335"/>
      <c r="X181" s="336" t="str">
        <f>IF(W181=[7]Listas!$B$46,[7]Listas!$C$46,IF(W181=[7]Listas!$B$47,[7]Listas!$C$47,IF(W181=[7]Listas!$B$48,[7]Listas!$C$48,"")))</f>
        <v/>
      </c>
      <c r="Y181" s="337" t="str">
        <f>IF(OR(W181=[7]Listas!$F$53,W181=[7]Listas!$F$54),[7]Listas!$G$53,IF(W181=[7]Listas!$F$55,[7]Listas!$G$55,""))</f>
        <v/>
      </c>
      <c r="Z181" s="335"/>
      <c r="AA181" s="186" t="str">
        <f>+IF(Z181=[7]Listas!$E$46,[7]Listas!$F$46,IF(Z181=[7]Listas!$E$47,[7]Listas!$F$47,""))</f>
        <v/>
      </c>
      <c r="AB181" s="187" t="str">
        <f t="shared" si="24"/>
        <v/>
      </c>
      <c r="AC181" s="338"/>
      <c r="AD181" s="339"/>
      <c r="AE181" s="340"/>
      <c r="AF181" s="311" t="str">
        <f t="shared" si="19"/>
        <v>Baja</v>
      </c>
      <c r="AG181" s="179">
        <f>IF(Y181=[7]Listas!$G$53,AG180-(AG180*AB181),AG180)</f>
        <v>0.36</v>
      </c>
      <c r="AH181" s="563"/>
      <c r="AI181" s="311" t="str">
        <f t="shared" si="21"/>
        <v>Leve</v>
      </c>
      <c r="AJ181" s="179">
        <f>IF(Y181=[7]Listas!$G$55,AJ180-(AJ180*AB181),AJ180)</f>
        <v>0.2</v>
      </c>
      <c r="AK181" s="563"/>
      <c r="AL181" s="566"/>
      <c r="AM181" s="566"/>
      <c r="AN181" s="566"/>
      <c r="AO181" s="569"/>
      <c r="AP181" s="572"/>
      <c r="AQ181" s="346"/>
      <c r="AR181" s="192"/>
    </row>
    <row r="182" spans="2:70" ht="125" thickTop="1" thickBot="1" x14ac:dyDescent="0.4">
      <c r="B182" s="870"/>
      <c r="C182" s="559" t="s">
        <v>97</v>
      </c>
      <c r="D182" s="760" t="s">
        <v>365</v>
      </c>
      <c r="E182" s="576" t="s">
        <v>4</v>
      </c>
      <c r="F182" s="834" t="s">
        <v>366</v>
      </c>
      <c r="G182" s="837" t="s">
        <v>367</v>
      </c>
      <c r="H182" s="840" t="s">
        <v>368</v>
      </c>
      <c r="I182" s="588" t="s">
        <v>20</v>
      </c>
      <c r="J182" s="588" t="s">
        <v>22</v>
      </c>
      <c r="K182" s="826" t="s">
        <v>369</v>
      </c>
      <c r="L182" s="588" t="s">
        <v>168</v>
      </c>
      <c r="M182" s="594" t="s">
        <v>207</v>
      </c>
      <c r="N182" s="597" t="str">
        <f>+IF(M182="","",IF(M182=$BO$15,$BN$15,IF(M182=$BO$16,$BN$16,IF(M182=$BO$17,$BN$17,IF(M182=$BO$18,$BN$18,IF(M182=$BO$19,$BN$19))))))</f>
        <v>Baja</v>
      </c>
      <c r="O182" s="600">
        <f>+IF(M182="","",IF(M182=$BO$15,$BR$15,IF(M182=$BO$16,$BR$16,IF(M182=$BO$17,$BR$17,IF(M182=$BO$18,$BR$18,IF(M182=$BO$19,$BR$19))))))</f>
        <v>0.4</v>
      </c>
      <c r="P182" s="594" t="s">
        <v>212</v>
      </c>
      <c r="Q182" s="603" t="str">
        <f>+IF(P182="","",IF(P182='[8]Mapa de Calor inherente'!$AF$6,'[8]Mapa de Calor inherente'!$AD$6,IF(P182='[8]Mapa de Calor inherente'!$AF$7,'[8]Mapa de Calor inherente'!$AD$7,IF(P182='[8]Mapa de Calor inherente'!$AF$8,'[8]Mapa de Calor inherente'!$AD$8,IF(P182='[8]Mapa de Calor inherente'!$AF$9,'[8]Mapa de Calor inherente'!$AD$9,IF(P182='[8]Mapa de Calor inherente'!$AF$10,'[8]Mapa de Calor inherente'!$AD$10,IF(P182='[8]Mapa de Calor inherente'!$AG$6,'[8]Mapa de Calor inherente'!$AD$6,IF(P182='[8]Mapa de Calor inherente'!$AG$7,'[8]Mapa de Calor inherente'!$AD$7,IF(P182='[8]Mapa de Calor inherente'!$AG$8,'[8]Mapa de Calor inherente'!$AD$8,IF(P182='[8]Mapa de Calor inherente'!$AG$9,'[8]Mapa de Calor inherente'!$AD$9,IF(P182='[8]Mapa de Calor inherente'!$AG$10,'[8]Mapa de Calor inherente'!$AD$10,IF(P182='[8]Mapa de Calor inherente'!$AD$8,'[8]Mapa de Calor inherente'!$AD$8,IF(P182='[8]Mapa de Calor inherente'!$AD$9,'[8]Mapa de Calor inherente'!$AD$9,IF(P182='[8]Mapa de Calor inherente'!$AD$10,'[8]Mapa de Calor inherente'!$AD$10))))))))))))))</f>
        <v>Moderado</v>
      </c>
      <c r="R182" s="600">
        <f>+IF(P182="","",IF(P182='[8]Mapa de Calor inherente'!$AF$6,'[8]Mapa de Calor inherente'!$AE$6,IF(P182='[8]Mapa de Calor inherente'!$AF$7,'[8]Mapa de Calor inherente'!$AE$7,IF(P182='[8]Mapa de Calor inherente'!$AF$8,'[8]Mapa de Calor inherente'!$AE$8,IF(P182='[8]Mapa de Calor inherente'!$AF$9,'[8]Mapa de Calor inherente'!$AE$9,IF(P182='[8]Mapa de Calor inherente'!$AF$10,'[8]Mapa de Calor inherente'!$AE$10,IF(P182='[8]Mapa de Calor inherente'!$AG$6,'[8]Mapa de Calor inherente'!$AE$6,IF(P182='[8]Mapa de Calor inherente'!$AG$7,'[8]Mapa de Calor inherente'!$AE$7,IF(P182='[8]Mapa de Calor inherente'!$AG$8,'[8]Mapa de Calor inherente'!$AE$8,IF(P182='[8]Mapa de Calor inherente'!$AG$9,'[8]Mapa de Calor inherente'!$AE$9,IF(P182='[8]Mapa de Calor inherente'!$AG$10,'[8]Mapa de Calor inherente'!$AE$10,IF(P182='[8]Mapa de Calor inherente'!$AD$8,'[8]Mapa de Calor inherente'!$AE$8,IF(P182='[8]Mapa de Calor inherente'!$AD$9,'[8]Mapa de Calor inherente'!$AE$9,IF(P182='[8]Mapa de Calor inherente'!$AD$10,'[8]Mapa de Calor inherente'!$AE$10))))))))))))))</f>
        <v>0.6</v>
      </c>
      <c r="S182" s="282">
        <f>IF(O182="","",IF(R182="","",(O182*R182)))</f>
        <v>0.24</v>
      </c>
      <c r="T182" s="603" t="str">
        <f>+IF(N182=$BB$17,IF(Q182=$BC$16,$BC$17,IF(Q182=$BD$16,$BD$17,IF(Q182=$BE$16,$BE$17,IF(Q182=$BF$16,$BF$17,IF(Q182=$BG$16,$BG$17))))),IF(N182=$BB$18,IF(Q182=$BC$16,$BC$18,IF(Q182=$BD$16,$BD$18,IF(Q182=$BE$16,$BE$18,IF(Q182=$BF$16,$BF$18,IF(Q182=$BG$16,$BG$18))))),IF(N182=$BB$19,IF(Q182=$BC$16,$BC$19,IF(Q182=$BD$16,$BD$19,IF(Q182=$BE$16,$BE$19,IF(Q182=$BF$16,$BF$19,IF(Q182=$BG$16,$BG$19))))),IF(N182=$BB$20,IF(Q182=$BC$16,$BC$20,IF(Q182=$BD$16,$BD$20,IF(Q182=$BE$16,$BE$20,IF(Q182=$BF$16,$BF$20,IF(Q182=$BG$16,$BG$20))))),IF(N182=$BB$21,IF(Q182=$BC$16,$BC$21,IF(Q182=$BD$16,$BD$21,IF(Q182=$BE$16,$BE$21,IF(Q182=$BF$16,$BF$21,IF(Q182=$BG$16,$BG$21))))),"")))))</f>
        <v>Moderado</v>
      </c>
      <c r="U182" s="139" t="s">
        <v>171</v>
      </c>
      <c r="V182" s="527" t="s">
        <v>370</v>
      </c>
      <c r="W182" s="295" t="s">
        <v>40</v>
      </c>
      <c r="X182" s="296">
        <f>IF(W182=[8]Listas!$B$46,[8]Listas!$C$46,IF(W182=[8]Listas!$B$47,[8]Listas!$C$47,IF(W182=[8]Listas!$B$48,[8]Listas!$C$48,"")))</f>
        <v>0.25</v>
      </c>
      <c r="Y182" s="297" t="str">
        <f>IF(OR(W182=[8]Listas!$F$53,W182=[8]Listas!$F$54),[8]Listas!$G$53,IF(W182=[8]Listas!$F$55,[8]Listas!$G$55,""))</f>
        <v>Probabilidad</v>
      </c>
      <c r="Z182" s="295" t="s">
        <v>43</v>
      </c>
      <c r="AA182" s="296">
        <f>+IF(Z182=[8]Listas!$E$46,[8]Listas!$F$46,IF(Z182=[8]Listas!$E$47,[8]Listas!$F$47,""))</f>
        <v>0.15</v>
      </c>
      <c r="AB182" s="140">
        <f>IFERROR(X182+AA182,"")</f>
        <v>0.4</v>
      </c>
      <c r="AC182" s="291" t="s">
        <v>57</v>
      </c>
      <c r="AD182" s="295" t="s">
        <v>58</v>
      </c>
      <c r="AE182" s="298" t="s">
        <v>59</v>
      </c>
      <c r="AF182" s="299" t="str">
        <f t="shared" si="19"/>
        <v>Baja</v>
      </c>
      <c r="AG182" s="141">
        <f>IF(Y182=[8]Listas!$G$53,O182-(O182*AB182),O182)</f>
        <v>0.24</v>
      </c>
      <c r="AH182" s="561">
        <f>+IF(AG191="","",AG191)</f>
        <v>8.6399999999999991E-2</v>
      </c>
      <c r="AI182" s="299" t="str">
        <f>IF(AJ182="","",IF(AJ182&lt;=20%,"Leve",IF(AJ182&lt;=40%,"Menor",IF(AJ182&lt;=60%,"Moderado",IF(AJ182&lt;=80%,"Mayor","Catastrófico")))))</f>
        <v>Moderado</v>
      </c>
      <c r="AJ182" s="141">
        <f>IF(Y182=[8]Listas!$G$55,R182-(R182*AB182),R182)</f>
        <v>0.6</v>
      </c>
      <c r="AK182" s="561">
        <f>+IF(AJ191="","",AJ191)</f>
        <v>0.6</v>
      </c>
      <c r="AL182" s="564" t="str">
        <f>+IF(AH182=0,"",IF(AH182&lt;=$BA$21,$BB$21,IF(AH182&lt;=$BA$20,$BB$20,IF(AH182&lt;=$BA$19,$BB$19,IF(AH182&lt;=$BA$18,$BB$18,IF(AH182&lt;=$BA$17,$BB$17,""))))))</f>
        <v>Muy Baja</v>
      </c>
      <c r="AM182" s="564" t="str">
        <f>+IF(AK182=0,"",IF(AK182&lt;=$BC$15,$BC$16,IF(AK182&lt;=$BD$15,$BD$16,IF(AK182&lt;=$BE$15,$BE$16,IF(AK182&lt;=$BF$15,$BF$16,IF(AK182&lt;=$BG$15,$BG$16,""))))))</f>
        <v>Moderado</v>
      </c>
      <c r="AN182" s="564" t="str">
        <f>IF(AL182=$BB$17,IF(AM182=$BC$16,$BC$17,IF(AM182=$BD$16,$BD$17,IF(AM182=$BE$16,$BE$17,IF(AM182=$BF$16,$BF$17,IF(AM182=$BG$16,$BG$17))))),IF(AL182=$BB$18,IF(AM182=$BC$16,$BC$18,IF(AM182=$BD$16,$BD$18,IF(AM182=$BE$16,$BE$18,IF(AM182=$BF$16,$BF$18,IF(AM182=$BG$16,$BG$18))))),IF(AL182=$BB$19,IF(AM182=$BC$16,$BC$19,IF(AM182=$BD$16,$BD$19,IF(AM182=$BE$16,$BE$19,IF(AM182=$BF$16,$BF$19,IF(AM182=$BG$16,$BG$19))))),IF(AL182=$BB$20,IF(AM182=$BC$16,$BC$20,IF(AM182=$BD$16,$BD$20,IF(AM182=$BE$16,$BE$20,IF(AM182=$BF$16,$BF$20,IF(AM182=$BG$16,$BG$20))))),IF(AL182=$BB$21,IF(AM182=$BC$16,$BC$21,IF(AM182=$BD$16,$BD$21,IF(AM182=$BE$16,$BE$21,IF(AM182=$BF$16,$BF$21,IF(AM182=$BG$16,$BG$21))))),"")))))</f>
        <v>Moderado</v>
      </c>
      <c r="AO182" s="567" t="str">
        <f>IF(AP182="","",IF(AP182=[8]Listas!$F$61,[8]Listas!$G$61,IF(AP182=[8]Listas!$F$63,[8]Listas!$G$63,IF(AP182=[8]Listas!$F$64,[8]Listas!$G$64))))</f>
        <v>Requiere Plan de Acción</v>
      </c>
      <c r="AP182" s="630" t="str">
        <f>IF(AN182="","",IF(OR(AN182=[8]Listas!$E$61,AN182=[8]Listas!$E$62),[8]Listas!$F$61,IF(AN182=[8]Listas!$E$63,[8]Listas!$F$63,IF(AN182=[8]Listas!$E$64,[8]Listas!$F$64))))</f>
        <v>Aceptar o reducir el riesgo</v>
      </c>
      <c r="AQ182" s="300" t="s">
        <v>80</v>
      </c>
      <c r="AR182" s="530" t="s">
        <v>371</v>
      </c>
    </row>
    <row r="183" spans="2:70" ht="109.5" thickTop="1" thickBot="1" x14ac:dyDescent="0.35">
      <c r="B183" s="870"/>
      <c r="C183" s="559"/>
      <c r="D183" s="761"/>
      <c r="E183" s="577"/>
      <c r="F183" s="835"/>
      <c r="G183" s="838"/>
      <c r="H183" s="841"/>
      <c r="I183" s="589"/>
      <c r="J183" s="589"/>
      <c r="K183" s="827"/>
      <c r="L183" s="589"/>
      <c r="M183" s="595"/>
      <c r="N183" s="598"/>
      <c r="O183" s="601"/>
      <c r="P183" s="595"/>
      <c r="Q183" s="604"/>
      <c r="R183" s="601"/>
      <c r="S183" s="283"/>
      <c r="T183" s="604"/>
      <c r="U183" s="142" t="s">
        <v>174</v>
      </c>
      <c r="V183" s="528" t="s">
        <v>372</v>
      </c>
      <c r="W183" s="301" t="s">
        <v>40</v>
      </c>
      <c r="X183" s="302">
        <f>IF(W183=[8]Listas!$B$46,[8]Listas!$C$46,IF(W183=[8]Listas!$B$47,[8]Listas!$C$47,IF(W183=[8]Listas!$B$48,[8]Listas!$C$48,"")))</f>
        <v>0.25</v>
      </c>
      <c r="Y183" s="303" t="str">
        <f>IF(OR(W183=[8]Listas!$F$53,W183=[8]Listas!$F$54),[8]Listas!$G$53,IF(W183=[8]Listas!$F$55,[8]Listas!$G$55,""))</f>
        <v>Probabilidad</v>
      </c>
      <c r="Z183" s="301" t="s">
        <v>43</v>
      </c>
      <c r="AA183" s="143">
        <f>+IF(Z183=[8]Listas!$E$46,[8]Listas!$F$46,IF(Z183=[8]Listas!$E$47,[8]Listas!$F$47,""))</f>
        <v>0.15</v>
      </c>
      <c r="AB183" s="144">
        <f>IFERROR(X183+AA183,"")</f>
        <v>0.4</v>
      </c>
      <c r="AC183" s="301" t="s">
        <v>57</v>
      </c>
      <c r="AD183" s="301" t="s">
        <v>58</v>
      </c>
      <c r="AE183" s="304" t="s">
        <v>59</v>
      </c>
      <c r="AF183" s="305" t="str">
        <f t="shared" si="19"/>
        <v>Muy baja</v>
      </c>
      <c r="AG183" s="145">
        <f>IF(Y183=[8]Listas!$G$53,AG182-(AG182*AB183),AG182)</f>
        <v>0.14399999999999999</v>
      </c>
      <c r="AH183" s="562"/>
      <c r="AI183" s="305" t="str">
        <f t="shared" ref="AI183:AI211" si="25">IF(AJ183="","",IF(AJ183&lt;=20%,"Leve",IF(AJ183&lt;=40%,"Menor",IF(AJ183&lt;=60%,"Moderado",IF(AJ183&lt;=80%,"Mayor","Catastrófico")))))</f>
        <v>Moderado</v>
      </c>
      <c r="AJ183" s="145">
        <f>IF(Y183=[8]Listas!$G$55,AJ182-(AJ182*AB183),AJ182)</f>
        <v>0.6</v>
      </c>
      <c r="AK183" s="562"/>
      <c r="AL183" s="565"/>
      <c r="AM183" s="565"/>
      <c r="AN183" s="565"/>
      <c r="AO183" s="568"/>
      <c r="AP183" s="631"/>
      <c r="AQ183" s="306" t="s">
        <v>90</v>
      </c>
      <c r="AR183" s="531" t="s">
        <v>373</v>
      </c>
      <c r="AZ183" s="633" t="s">
        <v>177</v>
      </c>
      <c r="BA183" s="634"/>
      <c r="BB183" s="634"/>
      <c r="BC183" s="634"/>
      <c r="BD183" s="634"/>
      <c r="BE183" s="634"/>
      <c r="BF183" s="634"/>
      <c r="BG183" s="635"/>
      <c r="BI183" s="636" t="s">
        <v>178</v>
      </c>
      <c r="BJ183" s="637"/>
      <c r="BK183" s="637"/>
      <c r="BL183" s="638"/>
      <c r="BN183" s="639" t="s">
        <v>179</v>
      </c>
      <c r="BO183" s="640"/>
      <c r="BP183" s="641"/>
      <c r="BQ183" s="641"/>
      <c r="BR183" s="642"/>
    </row>
    <row r="184" spans="2:70" ht="109.5" thickTop="1" thickBot="1" x14ac:dyDescent="0.35">
      <c r="B184" s="870"/>
      <c r="C184" s="559"/>
      <c r="D184" s="761"/>
      <c r="E184" s="577"/>
      <c r="F184" s="835"/>
      <c r="G184" s="838"/>
      <c r="H184" s="841"/>
      <c r="I184" s="589"/>
      <c r="J184" s="589"/>
      <c r="K184" s="827"/>
      <c r="L184" s="589"/>
      <c r="M184" s="595"/>
      <c r="N184" s="598"/>
      <c r="O184" s="601"/>
      <c r="P184" s="595"/>
      <c r="Q184" s="604"/>
      <c r="R184" s="601"/>
      <c r="S184" s="283"/>
      <c r="T184" s="604"/>
      <c r="U184" s="142" t="s">
        <v>180</v>
      </c>
      <c r="V184" s="528" t="s">
        <v>374</v>
      </c>
      <c r="W184" s="301" t="s">
        <v>40</v>
      </c>
      <c r="X184" s="302">
        <f>IF(W184=[8]Listas!$B$46,[8]Listas!$C$46,IF(W184=[8]Listas!$B$47,[8]Listas!$C$47,IF(W184=[8]Listas!$B$48,[8]Listas!$C$48,"")))</f>
        <v>0.25</v>
      </c>
      <c r="Y184" s="303" t="str">
        <f>IF(OR(W184=[8]Listas!$F$53,W184=[8]Listas!$F$54),[8]Listas!$G$53,IF(W184=[8]Listas!$F$55,[8]Listas!$G$55,""))</f>
        <v>Probabilidad</v>
      </c>
      <c r="Z184" s="301" t="s">
        <v>43</v>
      </c>
      <c r="AA184" s="143">
        <f>+IF(Z184=[8]Listas!$E$46,[8]Listas!$F$46,IF(Z184=[8]Listas!$E$47,[8]Listas!$F$47,""))</f>
        <v>0.15</v>
      </c>
      <c r="AB184" s="144">
        <f>IFERROR(X184+AA184,"")</f>
        <v>0.4</v>
      </c>
      <c r="AC184" s="301" t="s">
        <v>57</v>
      </c>
      <c r="AD184" s="301" t="s">
        <v>58</v>
      </c>
      <c r="AE184" s="304" t="s">
        <v>59</v>
      </c>
      <c r="AF184" s="305" t="str">
        <f t="shared" si="19"/>
        <v>Muy baja</v>
      </c>
      <c r="AG184" s="145">
        <f>IF(Y184=[8]Listas!$G$53,AG183-(AG183*AB184),AG183)</f>
        <v>8.6399999999999991E-2</v>
      </c>
      <c r="AH184" s="562"/>
      <c r="AI184" s="305" t="str">
        <f t="shared" si="25"/>
        <v>Moderado</v>
      </c>
      <c r="AJ184" s="145">
        <f>IF(Y184=[8]Listas!$G$55,AJ183-(AJ183*AB184),AJ183)</f>
        <v>0.6</v>
      </c>
      <c r="AK184" s="562"/>
      <c r="AL184" s="565"/>
      <c r="AM184" s="565"/>
      <c r="AN184" s="565"/>
      <c r="AO184" s="568"/>
      <c r="AP184" s="631"/>
      <c r="AQ184" s="306" t="s">
        <v>90</v>
      </c>
      <c r="AR184" s="531" t="s">
        <v>373</v>
      </c>
      <c r="AZ184" s="146"/>
      <c r="BA184" s="147"/>
      <c r="BB184" s="148"/>
      <c r="BC184" s="643" t="s">
        <v>70</v>
      </c>
      <c r="BD184" s="643"/>
      <c r="BE184" s="643"/>
      <c r="BF184" s="643"/>
      <c r="BG184" s="643"/>
      <c r="BI184" s="149" t="s">
        <v>183</v>
      </c>
      <c r="BJ184" s="150" t="s">
        <v>184</v>
      </c>
      <c r="BK184" s="150" t="s">
        <v>185</v>
      </c>
      <c r="BL184" s="151" t="s">
        <v>186</v>
      </c>
      <c r="BN184" s="149" t="s">
        <v>183</v>
      </c>
      <c r="BO184" s="150" t="s">
        <v>187</v>
      </c>
      <c r="BP184" s="152" t="s">
        <v>188</v>
      </c>
      <c r="BQ184" s="152" t="s">
        <v>189</v>
      </c>
      <c r="BR184" s="151" t="s">
        <v>60</v>
      </c>
    </row>
    <row r="185" spans="2:70" ht="15.75" hidden="1" customHeight="1" thickBot="1" x14ac:dyDescent="0.4">
      <c r="B185" s="870"/>
      <c r="C185" s="559"/>
      <c r="D185" s="761"/>
      <c r="E185" s="577"/>
      <c r="F185" s="835"/>
      <c r="G185" s="838"/>
      <c r="H185" s="841"/>
      <c r="I185" s="589"/>
      <c r="J185" s="589"/>
      <c r="K185" s="827"/>
      <c r="L185" s="589"/>
      <c r="M185" s="595"/>
      <c r="N185" s="598"/>
      <c r="O185" s="601"/>
      <c r="P185" s="595"/>
      <c r="Q185" s="604"/>
      <c r="R185" s="601"/>
      <c r="S185" s="283"/>
      <c r="T185" s="604"/>
      <c r="U185" s="142" t="s">
        <v>190</v>
      </c>
      <c r="V185" s="415"/>
      <c r="W185" s="301"/>
      <c r="X185" s="302" t="str">
        <f>IF(W185=[8]Listas!$B$46,[8]Listas!$C$46,IF(W185=[8]Listas!$B$47,[8]Listas!$C$47,IF(W185=[8]Listas!$B$48,[8]Listas!$C$48,"")))</f>
        <v/>
      </c>
      <c r="Y185" s="303" t="str">
        <f>IF(OR(W185=[8]Listas!$F$53,W185=[8]Listas!$F$54),[8]Listas!$G$53,IF(W185=[8]Listas!$F$55,[8]Listas!$G$55,""))</f>
        <v/>
      </c>
      <c r="Z185" s="301"/>
      <c r="AA185" s="143" t="str">
        <f>+IF(Z185=[8]Listas!$E$46,[8]Listas!$F$46,IF(Z185=[8]Listas!$E$47,[8]Listas!$F$47,""))</f>
        <v/>
      </c>
      <c r="AB185" s="144" t="str">
        <f t="shared" ref="AB185:AB191" si="26">IFERROR(X185+AA185,"")</f>
        <v/>
      </c>
      <c r="AC185" s="301"/>
      <c r="AD185" s="301"/>
      <c r="AE185" s="304"/>
      <c r="AF185" s="305" t="str">
        <f t="shared" si="19"/>
        <v>Muy baja</v>
      </c>
      <c r="AG185" s="145">
        <f>IF(Y185=[8]Listas!$G$53,AG184-(AG184*AB185),AG184)</f>
        <v>8.6399999999999991E-2</v>
      </c>
      <c r="AH185" s="562"/>
      <c r="AI185" s="305" t="str">
        <f t="shared" si="25"/>
        <v>Moderado</v>
      </c>
      <c r="AJ185" s="145">
        <f>IF(Y185=[8]Listas!$G$55,AJ184-(AJ184*AB185),AJ184)</f>
        <v>0.6</v>
      </c>
      <c r="AK185" s="562"/>
      <c r="AL185" s="565"/>
      <c r="AM185" s="565"/>
      <c r="AN185" s="565"/>
      <c r="AO185" s="568"/>
      <c r="AP185" s="631"/>
      <c r="AQ185" s="306"/>
      <c r="AR185" s="117"/>
      <c r="AZ185" s="153"/>
      <c r="BA185" s="154"/>
      <c r="BB185" s="155" t="s">
        <v>192</v>
      </c>
      <c r="BC185" s="156">
        <v>0.2</v>
      </c>
      <c r="BD185" s="156">
        <v>0.4</v>
      </c>
      <c r="BE185" s="156">
        <v>0.6</v>
      </c>
      <c r="BF185" s="156">
        <v>0.8</v>
      </c>
      <c r="BG185" s="156">
        <v>1</v>
      </c>
      <c r="BI185" s="157" t="s">
        <v>193</v>
      </c>
      <c r="BJ185" s="158">
        <v>0.2</v>
      </c>
      <c r="BK185" s="159" t="s">
        <v>194</v>
      </c>
      <c r="BL185" s="160" t="s">
        <v>195</v>
      </c>
      <c r="BN185" s="157" t="s">
        <v>196</v>
      </c>
      <c r="BO185" s="159" t="s">
        <v>197</v>
      </c>
      <c r="BP185" s="161">
        <v>0</v>
      </c>
      <c r="BQ185" s="161">
        <v>2</v>
      </c>
      <c r="BR185" s="162">
        <v>0.2</v>
      </c>
    </row>
    <row r="186" spans="2:70" ht="30.75" hidden="1" customHeight="1" thickBot="1" x14ac:dyDescent="0.4">
      <c r="B186" s="870"/>
      <c r="C186" s="559"/>
      <c r="D186" s="761"/>
      <c r="E186" s="577"/>
      <c r="F186" s="835"/>
      <c r="G186" s="838"/>
      <c r="H186" s="841"/>
      <c r="I186" s="589"/>
      <c r="J186" s="589"/>
      <c r="K186" s="827"/>
      <c r="L186" s="589"/>
      <c r="M186" s="595"/>
      <c r="N186" s="598"/>
      <c r="O186" s="601"/>
      <c r="P186" s="595"/>
      <c r="Q186" s="604"/>
      <c r="R186" s="601"/>
      <c r="S186" s="283"/>
      <c r="T186" s="604"/>
      <c r="U186" s="142" t="s">
        <v>198</v>
      </c>
      <c r="V186" s="415"/>
      <c r="W186" s="301"/>
      <c r="X186" s="302" t="str">
        <f>IF(W186=[8]Listas!$B$46,[8]Listas!$C$46,IF(W186=[8]Listas!$B$47,[8]Listas!$C$47,IF(W186=[8]Listas!$B$48,[8]Listas!$C$48,"")))</f>
        <v/>
      </c>
      <c r="Y186" s="303" t="str">
        <f>IF(OR(W186=[8]Listas!$F$53,W186=[8]Listas!$F$54),[8]Listas!$G$53,IF(W186=[8]Listas!$F$55,[8]Listas!$G$55,""))</f>
        <v/>
      </c>
      <c r="Z186" s="301"/>
      <c r="AA186" s="143" t="str">
        <f>+IF(Z186=[8]Listas!$E$46,[8]Listas!$F$46,IF(Z186=[8]Listas!$E$47,[8]Listas!$F$47,""))</f>
        <v/>
      </c>
      <c r="AB186" s="144" t="str">
        <f t="shared" si="26"/>
        <v/>
      </c>
      <c r="AC186" s="301"/>
      <c r="AD186" s="301"/>
      <c r="AE186" s="304"/>
      <c r="AF186" s="305" t="str">
        <f t="shared" si="19"/>
        <v>Muy baja</v>
      </c>
      <c r="AG186" s="145">
        <f>IF(Y186=[8]Listas!$G$53,AG185-(AG185*AB186),AG185)</f>
        <v>8.6399999999999991E-2</v>
      </c>
      <c r="AH186" s="562"/>
      <c r="AI186" s="305" t="str">
        <f t="shared" si="25"/>
        <v>Moderado</v>
      </c>
      <c r="AJ186" s="145">
        <f>IF(Y186=[8]Listas!$G$55,AJ185-(AJ185*AB186),AJ185)</f>
        <v>0.6</v>
      </c>
      <c r="AK186" s="562"/>
      <c r="AL186" s="565"/>
      <c r="AM186" s="565"/>
      <c r="AN186" s="565"/>
      <c r="AO186" s="568"/>
      <c r="AP186" s="631"/>
      <c r="AQ186" s="306"/>
      <c r="AR186" s="117"/>
      <c r="AZ186" s="153"/>
      <c r="BA186" s="154"/>
      <c r="BB186" s="163" t="s">
        <v>200</v>
      </c>
      <c r="BC186" s="164" t="s">
        <v>193</v>
      </c>
      <c r="BD186" s="164" t="s">
        <v>201</v>
      </c>
      <c r="BE186" s="164" t="s">
        <v>83</v>
      </c>
      <c r="BF186" s="164" t="s">
        <v>202</v>
      </c>
      <c r="BG186" s="164" t="s">
        <v>203</v>
      </c>
      <c r="BI186" s="165" t="s">
        <v>201</v>
      </c>
      <c r="BJ186" s="158">
        <v>0.4</v>
      </c>
      <c r="BK186" s="166" t="s">
        <v>204</v>
      </c>
      <c r="BL186" s="167" t="s">
        <v>205</v>
      </c>
      <c r="BN186" s="165" t="s">
        <v>206</v>
      </c>
      <c r="BO186" s="166" t="s">
        <v>207</v>
      </c>
      <c r="BP186" s="161">
        <v>3</v>
      </c>
      <c r="BQ186" s="161">
        <v>24</v>
      </c>
      <c r="BR186" s="162">
        <v>0.4</v>
      </c>
    </row>
    <row r="187" spans="2:70" ht="30.75" hidden="1" customHeight="1" thickBot="1" x14ac:dyDescent="0.4">
      <c r="B187" s="870"/>
      <c r="C187" s="559"/>
      <c r="D187" s="761"/>
      <c r="E187" s="577"/>
      <c r="F187" s="835"/>
      <c r="G187" s="838"/>
      <c r="H187" s="841"/>
      <c r="I187" s="589"/>
      <c r="J187" s="589"/>
      <c r="K187" s="827"/>
      <c r="L187" s="589"/>
      <c r="M187" s="595"/>
      <c r="N187" s="598"/>
      <c r="O187" s="601"/>
      <c r="P187" s="595"/>
      <c r="Q187" s="604"/>
      <c r="R187" s="601"/>
      <c r="S187" s="283"/>
      <c r="T187" s="604"/>
      <c r="U187" s="142" t="s">
        <v>208</v>
      </c>
      <c r="V187" s="415"/>
      <c r="W187" s="301"/>
      <c r="X187" s="302" t="str">
        <f>IF(W187=[8]Listas!$B$46,[8]Listas!$C$46,IF(W187=[8]Listas!$B$47,[8]Listas!$C$47,IF(W187=[8]Listas!$B$48,[8]Listas!$C$48,"")))</f>
        <v/>
      </c>
      <c r="Y187" s="303" t="str">
        <f>IF(OR(W187=[8]Listas!$F$53,W187=[8]Listas!$F$54),[8]Listas!$G$53,IF(W187=[8]Listas!$F$55,[8]Listas!$G$55,""))</f>
        <v/>
      </c>
      <c r="Z187" s="301"/>
      <c r="AA187" s="143" t="str">
        <f>+IF(Z187=[8]Listas!$E$46,[8]Listas!$F$46,IF(Z187=[8]Listas!$E$47,[8]Listas!$F$47,""))</f>
        <v/>
      </c>
      <c r="AB187" s="144" t="str">
        <f t="shared" si="26"/>
        <v/>
      </c>
      <c r="AC187" s="301"/>
      <c r="AD187" s="301"/>
      <c r="AE187" s="304"/>
      <c r="AF187" s="305" t="str">
        <f t="shared" si="19"/>
        <v>Muy baja</v>
      </c>
      <c r="AG187" s="145">
        <f>IF(Y187=[8]Listas!$G$53,AG186-(AG186*AB187),AG186)</f>
        <v>8.6399999999999991E-2</v>
      </c>
      <c r="AH187" s="562"/>
      <c r="AI187" s="305" t="str">
        <f t="shared" si="25"/>
        <v>Moderado</v>
      </c>
      <c r="AJ187" s="145">
        <f>IF(Y187=[8]Listas!$G$55,AJ186-(AJ186*AB187),AJ186)</f>
        <v>0.6</v>
      </c>
      <c r="AK187" s="562"/>
      <c r="AL187" s="565"/>
      <c r="AM187" s="565"/>
      <c r="AN187" s="565"/>
      <c r="AO187" s="568"/>
      <c r="AP187" s="631"/>
      <c r="AQ187" s="306"/>
      <c r="AR187" s="117"/>
      <c r="AZ187" s="644" t="s">
        <v>60</v>
      </c>
      <c r="BA187" s="168">
        <v>1</v>
      </c>
      <c r="BB187" s="164" t="s">
        <v>210</v>
      </c>
      <c r="BC187" s="169" t="s">
        <v>81</v>
      </c>
      <c r="BD187" s="169" t="s">
        <v>81</v>
      </c>
      <c r="BE187" s="169" t="s">
        <v>81</v>
      </c>
      <c r="BF187" s="169" t="s">
        <v>81</v>
      </c>
      <c r="BG187" s="170" t="s">
        <v>77</v>
      </c>
      <c r="BI187" s="171" t="s">
        <v>83</v>
      </c>
      <c r="BJ187" s="158">
        <v>0.6</v>
      </c>
      <c r="BK187" s="166" t="s">
        <v>211</v>
      </c>
      <c r="BL187" s="167" t="s">
        <v>212</v>
      </c>
      <c r="BN187" s="171" t="s">
        <v>213</v>
      </c>
      <c r="BO187" s="166" t="s">
        <v>214</v>
      </c>
      <c r="BP187" s="161">
        <v>25</v>
      </c>
      <c r="BQ187" s="161">
        <v>500</v>
      </c>
      <c r="BR187" s="162">
        <v>0.6</v>
      </c>
    </row>
    <row r="188" spans="2:70" ht="30.75" hidden="1" customHeight="1" thickBot="1" x14ac:dyDescent="0.4">
      <c r="B188" s="870"/>
      <c r="C188" s="559"/>
      <c r="D188" s="761"/>
      <c r="E188" s="577"/>
      <c r="F188" s="835"/>
      <c r="G188" s="838"/>
      <c r="H188" s="841"/>
      <c r="I188" s="589"/>
      <c r="J188" s="589"/>
      <c r="K188" s="827"/>
      <c r="L188" s="589"/>
      <c r="M188" s="595"/>
      <c r="N188" s="598"/>
      <c r="O188" s="601"/>
      <c r="P188" s="595"/>
      <c r="Q188" s="604"/>
      <c r="R188" s="601"/>
      <c r="S188" s="283"/>
      <c r="T188" s="604"/>
      <c r="U188" s="142" t="s">
        <v>215</v>
      </c>
      <c r="V188" s="418"/>
      <c r="W188" s="301"/>
      <c r="X188" s="302" t="str">
        <f>IF(W188=[8]Listas!$B$46,[8]Listas!$C$46,IF(W188=[8]Listas!$B$47,[8]Listas!$C$47,IF(W188=[8]Listas!$B$48,[8]Listas!$C$48,"")))</f>
        <v/>
      </c>
      <c r="Y188" s="303" t="str">
        <f>IF(OR(W188=[8]Listas!$F$53,W188=[8]Listas!$F$54),[8]Listas!$G$53,IF(W188=[8]Listas!$F$55,[8]Listas!$G$55,""))</f>
        <v/>
      </c>
      <c r="Z188" s="301"/>
      <c r="AA188" s="143" t="str">
        <f>+IF(Z188=[8]Listas!$E$46,[8]Listas!$F$46,IF(Z188=[8]Listas!$E$47,[8]Listas!$F$47,""))</f>
        <v/>
      </c>
      <c r="AB188" s="144" t="str">
        <f t="shared" si="26"/>
        <v/>
      </c>
      <c r="AC188" s="301"/>
      <c r="AD188" s="301"/>
      <c r="AE188" s="304"/>
      <c r="AF188" s="305" t="str">
        <f t="shared" si="19"/>
        <v>Muy baja</v>
      </c>
      <c r="AG188" s="145">
        <f>IF(Y188=[8]Listas!$G$53,AG187-(AG187*AB188),AG187)</f>
        <v>8.6399999999999991E-2</v>
      </c>
      <c r="AH188" s="562"/>
      <c r="AI188" s="305" t="str">
        <f t="shared" si="25"/>
        <v>Moderado</v>
      </c>
      <c r="AJ188" s="145">
        <f>IF(Y188=[8]Listas!$G$55,AJ187-(AJ187*AB188),AJ187)</f>
        <v>0.6</v>
      </c>
      <c r="AK188" s="562"/>
      <c r="AL188" s="565"/>
      <c r="AM188" s="565"/>
      <c r="AN188" s="565"/>
      <c r="AO188" s="568"/>
      <c r="AP188" s="631"/>
      <c r="AQ188" s="306"/>
      <c r="AR188" s="117"/>
      <c r="AZ188" s="644"/>
      <c r="BA188" s="168">
        <v>0.8</v>
      </c>
      <c r="BB188" s="164" t="s">
        <v>217</v>
      </c>
      <c r="BC188" s="172" t="s">
        <v>83</v>
      </c>
      <c r="BD188" s="172" t="s">
        <v>83</v>
      </c>
      <c r="BE188" s="169" t="s">
        <v>81</v>
      </c>
      <c r="BF188" s="169" t="s">
        <v>81</v>
      </c>
      <c r="BG188" s="170" t="s">
        <v>77</v>
      </c>
      <c r="BI188" s="173" t="s">
        <v>202</v>
      </c>
      <c r="BJ188" s="158">
        <v>0.8</v>
      </c>
      <c r="BK188" s="166" t="s">
        <v>218</v>
      </c>
      <c r="BL188" s="167" t="s">
        <v>219</v>
      </c>
      <c r="BN188" s="173" t="s">
        <v>217</v>
      </c>
      <c r="BO188" s="166" t="s">
        <v>169</v>
      </c>
      <c r="BP188" s="161">
        <v>5001</v>
      </c>
      <c r="BQ188" s="161">
        <v>5000</v>
      </c>
      <c r="BR188" s="162">
        <v>0.8</v>
      </c>
    </row>
    <row r="189" spans="2:70" ht="15" hidden="1" customHeight="1" thickTop="1" x14ac:dyDescent="0.35">
      <c r="B189" s="870"/>
      <c r="C189" s="559"/>
      <c r="D189" s="761"/>
      <c r="E189" s="577"/>
      <c r="F189" s="835"/>
      <c r="G189" s="838"/>
      <c r="H189" s="841"/>
      <c r="I189" s="589"/>
      <c r="J189" s="589"/>
      <c r="K189" s="827"/>
      <c r="L189" s="589"/>
      <c r="M189" s="595"/>
      <c r="N189" s="598"/>
      <c r="O189" s="601"/>
      <c r="P189" s="595"/>
      <c r="Q189" s="604"/>
      <c r="R189" s="601"/>
      <c r="S189" s="283"/>
      <c r="T189" s="604"/>
      <c r="U189" s="142" t="s">
        <v>220</v>
      </c>
      <c r="V189" s="419"/>
      <c r="W189" s="301"/>
      <c r="X189" s="302" t="str">
        <f>IF(W189=[8]Listas!$B$46,[8]Listas!$C$46,IF(W189=[8]Listas!$B$47,[8]Listas!$C$47,IF(W189=[8]Listas!$B$48,[8]Listas!$C$48,"")))</f>
        <v/>
      </c>
      <c r="Y189" s="303" t="str">
        <f>IF(OR(W189=[8]Listas!$F$53,W189=[8]Listas!$F$54),[8]Listas!$G$53,IF(W189=[8]Listas!$F$55,[8]Listas!$G$55,""))</f>
        <v/>
      </c>
      <c r="Z189" s="301"/>
      <c r="AA189" s="143" t="str">
        <f>+IF(Z189=[8]Listas!$E$46,[8]Listas!$F$46,IF(Z189=[8]Listas!$E$47,[8]Listas!$F$47,""))</f>
        <v/>
      </c>
      <c r="AB189" s="144" t="str">
        <f t="shared" si="26"/>
        <v/>
      </c>
      <c r="AC189" s="301"/>
      <c r="AD189" s="301"/>
      <c r="AE189" s="304"/>
      <c r="AF189" s="305" t="str">
        <f t="shared" si="19"/>
        <v>Muy baja</v>
      </c>
      <c r="AG189" s="145">
        <f>IF(Y189=[8]Listas!$G$53,AG188-(AG188*AB189),AG188)</f>
        <v>8.6399999999999991E-2</v>
      </c>
      <c r="AH189" s="562"/>
      <c r="AI189" s="305" t="str">
        <f t="shared" si="25"/>
        <v>Moderado</v>
      </c>
      <c r="AJ189" s="145">
        <f>IF(Y189=[8]Listas!$G$55,AJ188-(AJ188*AB189),AJ188)</f>
        <v>0.6</v>
      </c>
      <c r="AK189" s="562"/>
      <c r="AL189" s="565"/>
      <c r="AM189" s="565"/>
      <c r="AN189" s="565"/>
      <c r="AO189" s="568"/>
      <c r="AP189" s="631"/>
      <c r="AQ189" s="306"/>
      <c r="AR189" s="117"/>
      <c r="AZ189" s="644"/>
      <c r="BA189" s="168">
        <v>0.6</v>
      </c>
      <c r="BB189" s="164" t="s">
        <v>213</v>
      </c>
      <c r="BC189" s="172" t="s">
        <v>83</v>
      </c>
      <c r="BD189" s="172" t="s">
        <v>83</v>
      </c>
      <c r="BE189" s="172" t="s">
        <v>83</v>
      </c>
      <c r="BF189" s="169" t="s">
        <v>81</v>
      </c>
      <c r="BG189" s="170" t="s">
        <v>77</v>
      </c>
      <c r="BI189" s="175" t="s">
        <v>203</v>
      </c>
      <c r="BJ189" s="158">
        <v>1</v>
      </c>
      <c r="BK189" s="166" t="s">
        <v>221</v>
      </c>
      <c r="BL189" s="167" t="s">
        <v>170</v>
      </c>
      <c r="BN189" s="175" t="s">
        <v>210</v>
      </c>
      <c r="BO189" s="166" t="s">
        <v>222</v>
      </c>
      <c r="BP189" s="161">
        <v>5001</v>
      </c>
      <c r="BQ189" s="161"/>
      <c r="BR189" s="162">
        <v>1</v>
      </c>
    </row>
    <row r="190" spans="2:70" ht="15" hidden="1" customHeight="1" thickTop="1" x14ac:dyDescent="0.35">
      <c r="B190" s="870"/>
      <c r="C190" s="559"/>
      <c r="D190" s="761"/>
      <c r="E190" s="577"/>
      <c r="F190" s="835"/>
      <c r="G190" s="838"/>
      <c r="H190" s="841"/>
      <c r="I190" s="589"/>
      <c r="J190" s="589"/>
      <c r="K190" s="827"/>
      <c r="L190" s="589"/>
      <c r="M190" s="595"/>
      <c r="N190" s="598"/>
      <c r="O190" s="601"/>
      <c r="P190" s="595"/>
      <c r="Q190" s="604"/>
      <c r="R190" s="601"/>
      <c r="S190" s="283"/>
      <c r="T190" s="604"/>
      <c r="U190" s="142" t="s">
        <v>223</v>
      </c>
      <c r="V190" s="419"/>
      <c r="W190" s="301"/>
      <c r="X190" s="302" t="str">
        <f>IF(W190=[8]Listas!$B$46,[8]Listas!$C$46,IF(W190=[8]Listas!$B$47,[8]Listas!$C$47,IF(W190=[8]Listas!$B$48,[8]Listas!$C$48,"")))</f>
        <v/>
      </c>
      <c r="Y190" s="303" t="str">
        <f>IF(OR(W190=[8]Listas!$F$53,W190=[8]Listas!$F$54),[8]Listas!$G$53,IF(W190=[8]Listas!$F$55,[8]Listas!$G$55,""))</f>
        <v/>
      </c>
      <c r="Z190" s="301"/>
      <c r="AA190" s="143" t="str">
        <f>+IF(Z190=[8]Listas!$E$46,[8]Listas!$F$46,IF(Z190=[8]Listas!$E$47,[8]Listas!$F$47,""))</f>
        <v/>
      </c>
      <c r="AB190" s="144" t="str">
        <f t="shared" si="26"/>
        <v/>
      </c>
      <c r="AC190" s="301"/>
      <c r="AD190" s="301"/>
      <c r="AE190" s="304"/>
      <c r="AF190" s="305" t="str">
        <f t="shared" si="19"/>
        <v>Muy baja</v>
      </c>
      <c r="AG190" s="145">
        <f>IF(Y190=[8]Listas!$G$53,AG189-(AG189*AB190),AG189)</f>
        <v>8.6399999999999991E-2</v>
      </c>
      <c r="AH190" s="562"/>
      <c r="AI190" s="305" t="str">
        <f t="shared" si="25"/>
        <v>Moderado</v>
      </c>
      <c r="AJ190" s="145">
        <f>IF(Y190=[8]Listas!$G$55,AJ189-(AJ189*AB190),AJ189)</f>
        <v>0.6</v>
      </c>
      <c r="AK190" s="562"/>
      <c r="AL190" s="565"/>
      <c r="AM190" s="565"/>
      <c r="AN190" s="565"/>
      <c r="AO190" s="568"/>
      <c r="AP190" s="631"/>
      <c r="AQ190" s="306"/>
      <c r="AR190" s="117"/>
      <c r="AZ190" s="644"/>
      <c r="BA190" s="168">
        <v>0.4</v>
      </c>
      <c r="BB190" s="164" t="s">
        <v>206</v>
      </c>
      <c r="BC190" s="176" t="s">
        <v>86</v>
      </c>
      <c r="BD190" s="172" t="s">
        <v>83</v>
      </c>
      <c r="BE190" s="172" t="s">
        <v>83</v>
      </c>
      <c r="BF190" s="169" t="s">
        <v>81</v>
      </c>
      <c r="BG190" s="170" t="s">
        <v>77</v>
      </c>
    </row>
    <row r="191" spans="2:70" ht="15.75" hidden="1" customHeight="1" thickTop="1" x14ac:dyDescent="0.35">
      <c r="B191" s="870"/>
      <c r="C191" s="559"/>
      <c r="D191" s="762"/>
      <c r="E191" s="578"/>
      <c r="F191" s="836"/>
      <c r="G191" s="839"/>
      <c r="H191" s="842"/>
      <c r="I191" s="590"/>
      <c r="J191" s="590"/>
      <c r="K191" s="828"/>
      <c r="L191" s="590"/>
      <c r="M191" s="596"/>
      <c r="N191" s="599"/>
      <c r="O191" s="602"/>
      <c r="P191" s="596"/>
      <c r="Q191" s="605"/>
      <c r="R191" s="602"/>
      <c r="S191" s="284"/>
      <c r="T191" s="605"/>
      <c r="U191" s="202" t="s">
        <v>224</v>
      </c>
      <c r="V191" s="420"/>
      <c r="W191" s="307"/>
      <c r="X191" s="308" t="str">
        <f>IF(W191=[8]Listas!$B$46,[8]Listas!$C$46,IF(W191=[8]Listas!$B$47,[8]Listas!$C$47,IF(W191=[8]Listas!$B$48,[8]Listas!$C$48,"")))</f>
        <v/>
      </c>
      <c r="Y191" s="309" t="str">
        <f>IF(OR(W191=[8]Listas!$F$53,W191=[8]Listas!$F$54),[8]Listas!$G$53,IF(W191=[8]Listas!$F$55,[8]Listas!$G$55,""))</f>
        <v/>
      </c>
      <c r="Z191" s="307"/>
      <c r="AA191" s="177" t="str">
        <f>+IF(Z191=[8]Listas!$E$46,[8]Listas!$F$46,IF(Z191=[8]Listas!$E$47,[8]Listas!$F$47,""))</f>
        <v/>
      </c>
      <c r="AB191" s="178" t="str">
        <f t="shared" si="26"/>
        <v/>
      </c>
      <c r="AC191" s="307"/>
      <c r="AD191" s="307"/>
      <c r="AE191" s="310"/>
      <c r="AF191" s="311" t="str">
        <f t="shared" si="19"/>
        <v>Muy baja</v>
      </c>
      <c r="AG191" s="179">
        <f>IF(Y191=[8]Listas!$G$53,AG190-(AG190*AB191),AG190)</f>
        <v>8.6399999999999991E-2</v>
      </c>
      <c r="AH191" s="563"/>
      <c r="AI191" s="311" t="str">
        <f t="shared" si="25"/>
        <v>Moderado</v>
      </c>
      <c r="AJ191" s="179">
        <f>IF(Y191=[8]Listas!$G$55,AJ190-(AJ190*AB191),AJ190)</f>
        <v>0.6</v>
      </c>
      <c r="AK191" s="563"/>
      <c r="AL191" s="566"/>
      <c r="AM191" s="566"/>
      <c r="AN191" s="566"/>
      <c r="AO191" s="569"/>
      <c r="AP191" s="632"/>
      <c r="AQ191" s="312"/>
      <c r="AR191" s="180"/>
      <c r="AZ191" s="644"/>
      <c r="BA191" s="168">
        <v>0.2</v>
      </c>
      <c r="BB191" s="164" t="s">
        <v>196</v>
      </c>
      <c r="BC191" s="176" t="s">
        <v>86</v>
      </c>
      <c r="BD191" s="176" t="s">
        <v>86</v>
      </c>
      <c r="BE191" s="172" t="s">
        <v>83</v>
      </c>
      <c r="BF191" s="169" t="s">
        <v>81</v>
      </c>
      <c r="BG191" s="170" t="s">
        <v>77</v>
      </c>
    </row>
    <row r="192" spans="2:70" ht="77.150000000000006" customHeight="1" thickTop="1" thickBot="1" x14ac:dyDescent="0.4">
      <c r="B192" s="870"/>
      <c r="C192" s="559"/>
      <c r="D192" s="744" t="s">
        <v>375</v>
      </c>
      <c r="E192" s="576" t="s">
        <v>4</v>
      </c>
      <c r="F192" s="843" t="s">
        <v>376</v>
      </c>
      <c r="G192" s="846" t="s">
        <v>377</v>
      </c>
      <c r="H192" s="849" t="s">
        <v>378</v>
      </c>
      <c r="I192" s="588" t="s">
        <v>28</v>
      </c>
      <c r="J192" s="588" t="s">
        <v>22</v>
      </c>
      <c r="K192" s="711" t="s">
        <v>379</v>
      </c>
      <c r="L192" s="588" t="s">
        <v>186</v>
      </c>
      <c r="M192" s="594" t="s">
        <v>207</v>
      </c>
      <c r="N192" s="597" t="str">
        <f>+IF(M192="","",IF(M192=$BO$15,$BN$15,IF(M192=$BO$16,$BN$16,IF(M192=$BO$17,$BN$17,IF(M192=$BO$18,$BN$18,IF(M192=$BO$19,$BN$19))))))</f>
        <v>Baja</v>
      </c>
      <c r="O192" s="600">
        <f>+IF(M192="","",IF(M192=$BO$15,$BR$15,IF(M192=$BO$16,$BR$16,IF(M192=$BO$17,$BR$17,IF(M192=$BO$18,$BR$18,IF(M192=$BO$19,$BR$19))))))</f>
        <v>0.4</v>
      </c>
      <c r="P192" s="594" t="s">
        <v>195</v>
      </c>
      <c r="Q192" s="603" t="str">
        <f>+IF(P192="","",IF(P192='[8]Mapa de Calor inherente'!$AF$6,'[8]Mapa de Calor inherente'!$AD$6,IF(P192='[8]Mapa de Calor inherente'!$AF$7,'[8]Mapa de Calor inherente'!$AD$7,IF(P192='[8]Mapa de Calor inherente'!$AF$8,'[8]Mapa de Calor inherente'!$AD$8,IF(P192='[8]Mapa de Calor inherente'!$AF$9,'[8]Mapa de Calor inherente'!$AD$9,IF(P192='[8]Mapa de Calor inherente'!$AF$10,'[8]Mapa de Calor inherente'!$AD$10,IF(P192='[8]Mapa de Calor inherente'!$AG$6,'[8]Mapa de Calor inherente'!$AD$6,IF(P192='[8]Mapa de Calor inherente'!$AG$7,'[8]Mapa de Calor inherente'!$AD$7,IF(P192='[8]Mapa de Calor inherente'!$AG$8,'[8]Mapa de Calor inherente'!$AD$8,IF(P192='[8]Mapa de Calor inherente'!$AG$9,'[8]Mapa de Calor inherente'!$AD$9,IF(P192='[8]Mapa de Calor inherente'!$AG$10,'[8]Mapa de Calor inherente'!$AD$10,IF(P192='[8]Mapa de Calor inherente'!$AD$8,'[8]Mapa de Calor inherente'!$AD$8,IF(P192='[8]Mapa de Calor inherente'!$AD$9,'[8]Mapa de Calor inherente'!$AD$9,IF(P192='[8]Mapa de Calor inherente'!$AD$10,'[8]Mapa de Calor inherente'!$AD$10))))))))))))))</f>
        <v>Leve</v>
      </c>
      <c r="R192" s="600">
        <f>+IF(P192="","",IF(P192='[8]Mapa de Calor inherente'!$AF$6,'[8]Mapa de Calor inherente'!$AE$6,IF(P192='[8]Mapa de Calor inherente'!$AF$7,'[8]Mapa de Calor inherente'!$AE$7,IF(P192='[8]Mapa de Calor inherente'!$AF$8,'[8]Mapa de Calor inherente'!$AE$8,IF(P192='[8]Mapa de Calor inherente'!$AF$9,'[8]Mapa de Calor inherente'!$AE$9,IF(P192='[8]Mapa de Calor inherente'!$AF$10,'[8]Mapa de Calor inherente'!$AE$10,IF(P192='[8]Mapa de Calor inherente'!$AG$6,'[8]Mapa de Calor inherente'!$AE$6,IF(P192='[8]Mapa de Calor inherente'!$AG$7,'[8]Mapa de Calor inherente'!$AE$7,IF(P192='[8]Mapa de Calor inherente'!$AG$8,'[8]Mapa de Calor inherente'!$AE$8,IF(P192='[8]Mapa de Calor inherente'!$AG$9,'[8]Mapa de Calor inherente'!$AE$9,IF(P192='[8]Mapa de Calor inherente'!$AG$10,'[8]Mapa de Calor inherente'!$AE$10,IF(P192='[8]Mapa de Calor inherente'!$AD$8,'[8]Mapa de Calor inherente'!$AE$8,IF(P192='[8]Mapa de Calor inherente'!$AD$9,'[8]Mapa de Calor inherente'!$AE$9,IF(P192='[8]Mapa de Calor inherente'!$AD$10,'[8]Mapa de Calor inherente'!$AE$10))))))))))))))</f>
        <v>0.2</v>
      </c>
      <c r="S192" s="292"/>
      <c r="T192" s="606" t="str">
        <f>+IF(N192=$BB$17,IF(Q192=$BC$16,$BC$17,IF(Q192=$BD$16,$BD$17,IF(Q192=$BE$16,$BE$17,IF(Q192=$BF$16,$BF$17,IF(Q192=$BG$16,$BG$17))))),IF(N192=$BB$18,IF(Q192=$BC$16,$BC$18,IF(Q192=$BD$16,$BD$18,IF(Q192=$BE$16,$BE$18,IF(Q192=$BF$16,$BF$18,IF(Q192=$BG$16,$BG$18))))),IF(N192=$BB$19,IF(Q192=$BC$16,$BC$19,IF(Q192=$BD$16,$BD$19,IF(Q192=$BE$16,$BE$19,IF(Q192=$BF$16,$BF$19,IF(Q192=$BG$16,$BG$19))))),IF(N192=$BB$20,IF(Q192=$BC$16,$BC$20,IF(Q192=$BD$16,$BD$20,IF(Q192=$BE$16,$BE$20,IF(Q192=$BF$16,$BF$20,IF(Q192=$BG$16,$BG$20))))),IF(N192=$BB$21,IF(Q192=$BC$16,$BC$21,IF(Q192=$BD$16,$BD$21,IF(Q192=$BE$16,$BE$21,IF(Q192=$BF$16,$BF$21,IF(Q192=$BG$16,$BG$21))))),"")))))</f>
        <v>Bajo</v>
      </c>
      <c r="U192" s="139" t="s">
        <v>171</v>
      </c>
      <c r="V192" s="527" t="s">
        <v>380</v>
      </c>
      <c r="W192" s="313" t="s">
        <v>40</v>
      </c>
      <c r="X192" s="314">
        <f>IF(W192=[8]Listas!$B$46,[8]Listas!$C$46,IF(W192=[8]Listas!$B$47,[8]Listas!$C$47,IF(W192=[8]Listas!$B$48,[8]Listas!$C$48,"")))</f>
        <v>0.25</v>
      </c>
      <c r="Y192" s="315" t="str">
        <f>IF(OR(W192=[8]Listas!$F$53,W192=[8]Listas!$F$54),[8]Listas!$G$53,IF(W192=[8]Listas!$F$55,[8]Listas!$G$55,""))</f>
        <v>Probabilidad</v>
      </c>
      <c r="Z192" s="313" t="s">
        <v>43</v>
      </c>
      <c r="AA192" s="314">
        <f>+IF(Z192=[8]Listas!$E$46,[8]Listas!$F$46,IF(Z192=[8]Listas!$E$47,[8]Listas!$F$47,""))</f>
        <v>0.15</v>
      </c>
      <c r="AB192" s="181">
        <f>IFERROR(X192+AA192,"")</f>
        <v>0.4</v>
      </c>
      <c r="AC192" s="313" t="s">
        <v>57</v>
      </c>
      <c r="AD192" s="316" t="s">
        <v>58</v>
      </c>
      <c r="AE192" s="317" t="s">
        <v>59</v>
      </c>
      <c r="AF192" s="299" t="str">
        <f t="shared" si="19"/>
        <v>Baja</v>
      </c>
      <c r="AG192" s="141">
        <f>IF(Y192=[8]Listas!$G$53,O192-(O192*AB192),O192)</f>
        <v>0.24</v>
      </c>
      <c r="AH192" s="561">
        <f>+IF(AG201="","",AG201)</f>
        <v>0.14399999999999999</v>
      </c>
      <c r="AI192" s="299" t="str">
        <f>IF(AJ192="","",IF(AJ192&lt;=20%,"Leve",IF(AJ192&lt;=40%,"Menor",IF(AJ192&lt;=60%,"Moderado",IF(AJ192&lt;=80%,"Mayor","Catastrófico")))))</f>
        <v>Leve</v>
      </c>
      <c r="AJ192" s="141">
        <f>IF(Y192=[8]Listas!$G$55,R192-(R192*AB192),R192)</f>
        <v>0.2</v>
      </c>
      <c r="AK192" s="561">
        <f>+IF(AJ201="","",AJ201)</f>
        <v>0.2</v>
      </c>
      <c r="AL192" s="564" t="str">
        <f>+IF(AH192=0,"",IF(AH192&lt;=$BA$21,$BB$21,IF(AH192&lt;=$BA$20,$BB$20,IF(AH192&lt;=$BA$19,$BB$19,IF(AH192&lt;=$BA$18,$BB$18,IF(AH192&lt;=$BA$17,$BB$17,""))))))</f>
        <v>Muy Baja</v>
      </c>
      <c r="AM192" s="564" t="str">
        <f>+IF(AK192=0,"",IF(AK192&lt;=$BC$15,$BC$16,IF(AK192&lt;=$BD$15,$BD$16,IF(AK192&lt;=$BE$15,$BE$16,IF(AK192&lt;=$BF$15,$BF$16,IF(AK192&lt;=$BG$15,$BG$16,""))))))</f>
        <v>Leve</v>
      </c>
      <c r="AN192" s="564" t="str">
        <f>IF(AL192=$BB$17,IF(AM192=$BC$16,$BC$17,IF(AM192=$BD$16,$BD$17,IF(AM192=$BE$16,$BE$17,IF(AM192=$BF$16,$BF$17,IF(AM192=$BG$16,$BG$17))))),IF(AL192=$BB$18,IF(AM192=$BC$16,$BC$18,IF(AM192=$BD$16,$BD$18,IF(AM192=$BE$16,$BE$18,IF(AM192=$BF$16,$BF$18,IF(AM192=$BG$16,$BG$18))))),IF(AL192=$BB$19,IF(AM192=$BC$16,$BC$19,IF(AM192=$BD$16,$BD$19,IF(AM192=$BE$16,$BE$19,IF(AM192=$BF$16,$BF$19,IF(AM192=$BG$16,$BG$19))))),IF(AL192=$BB$20,IF(AM192=$BC$16,$BC$20,IF(AM192=$BD$16,$BD$20,IF(AM192=$BE$16,$BE$20,IF(AM192=$BF$16,$BF$20,IF(AM192=$BG$16,$BG$20))))),IF(AL192=$BB$21,IF(AM192=$BC$16,$BC$21,IF(AM192=$BD$16,$BD$21,IF(AM192=$BE$16,$BE$21,IF(AM192=$BF$16,$BF$21,IF(AM192=$BG$16,$BG$21))))),"")))))</f>
        <v>Bajo</v>
      </c>
      <c r="AO192" s="567" t="str">
        <f>IF(AP192="","",IF(AP192=[8]Listas!$F$61,[8]Listas!$G$61,IF(AP192=[8]Listas!$F$63,[8]Listas!$G$63,IF(AP192=[8]Listas!$F$64,[8]Listas!$G$64))))</f>
        <v>No requiere Plan de Acción</v>
      </c>
      <c r="AP192" s="570" t="str">
        <f>IF(AN192="","",IF(OR(AN192=[8]Listas!$E$61,AN192=[8]Listas!$E$62),[8]Listas!$F$61,IF(AN192=[8]Listas!$E$63,[8]Listas!$F$63,IF(AN192=[8]Listas!$E$64,[8]Listas!$F$64))))</f>
        <v>Aceptar  el riesgo</v>
      </c>
      <c r="AQ192" s="318" t="s">
        <v>80</v>
      </c>
      <c r="AR192" s="532" t="s">
        <v>381</v>
      </c>
    </row>
    <row r="193" spans="2:44" ht="111" customHeight="1" thickTop="1" thickBot="1" x14ac:dyDescent="0.4">
      <c r="B193" s="870"/>
      <c r="C193" s="559"/>
      <c r="D193" s="745"/>
      <c r="E193" s="577"/>
      <c r="F193" s="844"/>
      <c r="G193" s="847"/>
      <c r="H193" s="850"/>
      <c r="I193" s="589"/>
      <c r="J193" s="589"/>
      <c r="K193" s="712"/>
      <c r="L193" s="589"/>
      <c r="M193" s="595"/>
      <c r="N193" s="598"/>
      <c r="O193" s="601"/>
      <c r="P193" s="595"/>
      <c r="Q193" s="604"/>
      <c r="R193" s="601"/>
      <c r="S193" s="286"/>
      <c r="T193" s="607"/>
      <c r="U193" s="142" t="s">
        <v>174</v>
      </c>
      <c r="V193" s="529" t="s">
        <v>382</v>
      </c>
      <c r="W193" s="319" t="s">
        <v>40</v>
      </c>
      <c r="X193" s="320">
        <f>IF(W193=[8]Listas!$B$46,[8]Listas!$C$46,IF(W193=[8]Listas!$B$47,[8]Listas!$C$47,IF(W193=[8]Listas!$B$48,[8]Listas!$C$48,"")))</f>
        <v>0.25</v>
      </c>
      <c r="Y193" s="321" t="str">
        <f>IF(OR(W193=[8]Listas!$F$53,W193=[8]Listas!$F$54),[8]Listas!$G$53,IF(W193=[8]Listas!$F$55,[8]Listas!$G$55,""))</f>
        <v>Probabilidad</v>
      </c>
      <c r="Z193" s="319" t="s">
        <v>43</v>
      </c>
      <c r="AA193" s="182">
        <f>+IF(Z193=[8]Listas!$E$46,[8]Listas!$F$46,IF(Z193=[8]Listas!$E$47,[8]Listas!$F$47,""))</f>
        <v>0.15</v>
      </c>
      <c r="AB193" s="183">
        <f>IFERROR(X193+AA193,"")</f>
        <v>0.4</v>
      </c>
      <c r="AC193" s="319" t="s">
        <v>57</v>
      </c>
      <c r="AD193" s="322" t="s">
        <v>58</v>
      </c>
      <c r="AE193" s="323" t="s">
        <v>59</v>
      </c>
      <c r="AF193" s="305" t="str">
        <f t="shared" si="19"/>
        <v>Muy baja</v>
      </c>
      <c r="AG193" s="145">
        <f>IF(Y193=[8]Listas!$G$53,AG192-(AG192*AB193),AG192)</f>
        <v>0.14399999999999999</v>
      </c>
      <c r="AH193" s="562"/>
      <c r="AI193" s="305" t="str">
        <f t="shared" si="25"/>
        <v>Leve</v>
      </c>
      <c r="AJ193" s="145">
        <f>IF(Y193=[8]Listas!$G$55,AJ192-(AJ192*AB193),AJ192)</f>
        <v>0.2</v>
      </c>
      <c r="AK193" s="562"/>
      <c r="AL193" s="565"/>
      <c r="AM193" s="565"/>
      <c r="AN193" s="565"/>
      <c r="AO193" s="568"/>
      <c r="AP193" s="571"/>
      <c r="AQ193" s="324" t="s">
        <v>80</v>
      </c>
      <c r="AR193" s="533" t="s">
        <v>383</v>
      </c>
    </row>
    <row r="194" spans="2:44" ht="140.5" thickTop="1" thickBot="1" x14ac:dyDescent="0.4">
      <c r="B194" s="870"/>
      <c r="C194" s="559"/>
      <c r="D194" s="745"/>
      <c r="E194" s="577"/>
      <c r="F194" s="844"/>
      <c r="G194" s="847"/>
      <c r="H194" s="850"/>
      <c r="I194" s="589"/>
      <c r="J194" s="589"/>
      <c r="K194" s="712"/>
      <c r="L194" s="589"/>
      <c r="M194" s="595"/>
      <c r="N194" s="598"/>
      <c r="O194" s="601"/>
      <c r="P194" s="595"/>
      <c r="Q194" s="604"/>
      <c r="R194" s="601"/>
      <c r="S194" s="287"/>
      <c r="T194" s="607"/>
      <c r="U194" s="142" t="s">
        <v>180</v>
      </c>
      <c r="V194" s="415"/>
      <c r="W194" s="319"/>
      <c r="X194" s="320" t="str">
        <f>IF(W194=[8]Listas!$B$46,[8]Listas!$C$46,IF(W194=[8]Listas!$B$47,[8]Listas!$C$47,IF(W194=[8]Listas!$B$48,[8]Listas!$C$48,"")))</f>
        <v/>
      </c>
      <c r="Y194" s="321" t="str">
        <f>IF(OR(W194=[8]Listas!$F$53,W194=[8]Listas!$F$54),[8]Listas!$G$53,IF(W194=[8]Listas!$F$55,[8]Listas!$G$55,""))</f>
        <v/>
      </c>
      <c r="Z194" s="319"/>
      <c r="AA194" s="182" t="str">
        <f>+IF(Z194=[8]Listas!$E$46,[8]Listas!$F$46,IF(Z194=[8]Listas!$E$47,[8]Listas!$F$47,""))</f>
        <v/>
      </c>
      <c r="AB194" s="183" t="str">
        <f>IFERROR(X194+AA194,"")</f>
        <v/>
      </c>
      <c r="AC194" s="325"/>
      <c r="AD194" s="326"/>
      <c r="AE194" s="327"/>
      <c r="AF194" s="305" t="str">
        <f t="shared" si="19"/>
        <v>Muy baja</v>
      </c>
      <c r="AG194" s="145">
        <f>IF(Y194=[8]Listas!$G$53,AG193-(AG193*AB194),AG193)</f>
        <v>0.14399999999999999</v>
      </c>
      <c r="AH194" s="562"/>
      <c r="AI194" s="305" t="str">
        <f t="shared" si="25"/>
        <v>Leve</v>
      </c>
      <c r="AJ194" s="145">
        <f>IF(Y194=[8]Listas!$G$55,AJ193-(AJ193*AB194),AJ193)</f>
        <v>0.2</v>
      </c>
      <c r="AK194" s="562"/>
      <c r="AL194" s="565"/>
      <c r="AM194" s="565"/>
      <c r="AN194" s="565"/>
      <c r="AO194" s="568"/>
      <c r="AP194" s="571"/>
      <c r="AQ194" s="324" t="s">
        <v>80</v>
      </c>
      <c r="AR194" s="534" t="s">
        <v>384</v>
      </c>
    </row>
    <row r="195" spans="2:44" ht="15" hidden="1" customHeight="1" x14ac:dyDescent="0.35">
      <c r="B195" s="870"/>
      <c r="C195" s="559"/>
      <c r="D195" s="745"/>
      <c r="E195" s="577"/>
      <c r="F195" s="844"/>
      <c r="G195" s="847"/>
      <c r="H195" s="850"/>
      <c r="I195" s="589"/>
      <c r="J195" s="589"/>
      <c r="K195" s="712"/>
      <c r="L195" s="589"/>
      <c r="M195" s="595"/>
      <c r="N195" s="598"/>
      <c r="O195" s="601"/>
      <c r="P195" s="595"/>
      <c r="Q195" s="604"/>
      <c r="R195" s="601"/>
      <c r="S195" s="287"/>
      <c r="T195" s="607"/>
      <c r="U195" s="142" t="s">
        <v>190</v>
      </c>
      <c r="V195" s="415"/>
      <c r="W195" s="319"/>
      <c r="X195" s="320" t="str">
        <f>IF(W195=[8]Listas!$B$46,[8]Listas!$C$46,IF(W195=[8]Listas!$B$47,[8]Listas!$C$47,IF(W195=[8]Listas!$B$48,[8]Listas!$C$48,"")))</f>
        <v/>
      </c>
      <c r="Y195" s="321" t="str">
        <f>IF(OR(W195=[8]Listas!$F$53,W195=[8]Listas!$F$54),[8]Listas!$G$53,IF(W195=[8]Listas!$F$55,[8]Listas!$G$55,""))</f>
        <v/>
      </c>
      <c r="Z195" s="319"/>
      <c r="AA195" s="182" t="str">
        <f>+IF(Z195=[8]Listas!$E$46,[8]Listas!$F$46,IF(Z195=[8]Listas!$E$47,[8]Listas!$F$47,""))</f>
        <v/>
      </c>
      <c r="AB195" s="183" t="str">
        <f t="shared" ref="AB195:AB201" si="27">IFERROR(X195+AA195,"")</f>
        <v/>
      </c>
      <c r="AC195" s="328"/>
      <c r="AD195" s="329"/>
      <c r="AE195" s="330"/>
      <c r="AF195" s="305" t="str">
        <f t="shared" si="19"/>
        <v>Muy baja</v>
      </c>
      <c r="AG195" s="145">
        <f>IF(Y195=[8]Listas!$G$53,AG194-(AG194*AB195),AG194)</f>
        <v>0.14399999999999999</v>
      </c>
      <c r="AH195" s="562"/>
      <c r="AI195" s="305" t="str">
        <f t="shared" si="25"/>
        <v>Leve</v>
      </c>
      <c r="AJ195" s="145">
        <f>IF(Y195=[8]Listas!$G$55,AJ194-(AJ194*AB195),AJ194)</f>
        <v>0.2</v>
      </c>
      <c r="AK195" s="562"/>
      <c r="AL195" s="565"/>
      <c r="AM195" s="565"/>
      <c r="AN195" s="565"/>
      <c r="AO195" s="568"/>
      <c r="AP195" s="571"/>
      <c r="AQ195" s="324"/>
      <c r="AR195" s="185"/>
    </row>
    <row r="196" spans="2:44" ht="15" hidden="1" customHeight="1" x14ac:dyDescent="0.35">
      <c r="B196" s="870"/>
      <c r="C196" s="559"/>
      <c r="D196" s="745"/>
      <c r="E196" s="577"/>
      <c r="F196" s="844"/>
      <c r="G196" s="847"/>
      <c r="H196" s="850"/>
      <c r="I196" s="589"/>
      <c r="J196" s="589"/>
      <c r="K196" s="712"/>
      <c r="L196" s="589"/>
      <c r="M196" s="595"/>
      <c r="N196" s="598"/>
      <c r="O196" s="601"/>
      <c r="P196" s="595"/>
      <c r="Q196" s="604"/>
      <c r="R196" s="601"/>
      <c r="S196" s="287"/>
      <c r="T196" s="607"/>
      <c r="U196" s="142" t="s">
        <v>198</v>
      </c>
      <c r="V196" s="415"/>
      <c r="W196" s="331"/>
      <c r="X196" s="320" t="str">
        <f>IF(W196=[8]Listas!$B$46,[8]Listas!$C$46,IF(W196=[8]Listas!$B$47,[8]Listas!$C$47,IF(W196=[8]Listas!$B$48,[8]Listas!$C$48,"")))</f>
        <v/>
      </c>
      <c r="Y196" s="321" t="str">
        <f>IF(OR(W196=[8]Listas!$F$53,W196=[8]Listas!$F$54),[8]Listas!$G$53,IF(W196=[8]Listas!$F$55,[8]Listas!$G$55,""))</f>
        <v/>
      </c>
      <c r="Z196" s="331"/>
      <c r="AA196" s="182" t="str">
        <f>+IF(Z196=[8]Listas!$E$46,[8]Listas!$F$46,IF(Z196=[8]Listas!$E$47,[8]Listas!$F$47,""))</f>
        <v/>
      </c>
      <c r="AB196" s="183" t="str">
        <f t="shared" si="27"/>
        <v/>
      </c>
      <c r="AC196" s="319"/>
      <c r="AD196" s="322"/>
      <c r="AE196" s="323"/>
      <c r="AF196" s="305" t="str">
        <f t="shared" si="19"/>
        <v>Muy baja</v>
      </c>
      <c r="AG196" s="145">
        <f>IF(Y196=[8]Listas!$G$53,AG195-(AG195*AB196),AG195)</f>
        <v>0.14399999999999999</v>
      </c>
      <c r="AH196" s="562"/>
      <c r="AI196" s="305" t="str">
        <f t="shared" si="25"/>
        <v>Leve</v>
      </c>
      <c r="AJ196" s="145">
        <f>IF(Y196=[8]Listas!$G$55,AJ195-(AJ195*AB196),AJ195)</f>
        <v>0.2</v>
      </c>
      <c r="AK196" s="562"/>
      <c r="AL196" s="565"/>
      <c r="AM196" s="565"/>
      <c r="AN196" s="565"/>
      <c r="AO196" s="568"/>
      <c r="AP196" s="571"/>
      <c r="AQ196" s="324"/>
      <c r="AR196" s="185"/>
    </row>
    <row r="197" spans="2:44" ht="15.75" hidden="1" customHeight="1" thickTop="1" x14ac:dyDescent="0.35">
      <c r="B197" s="870"/>
      <c r="C197" s="559"/>
      <c r="D197" s="745"/>
      <c r="E197" s="577"/>
      <c r="F197" s="844"/>
      <c r="G197" s="847"/>
      <c r="H197" s="850"/>
      <c r="I197" s="589"/>
      <c r="J197" s="589"/>
      <c r="K197" s="712"/>
      <c r="L197" s="589"/>
      <c r="M197" s="595"/>
      <c r="N197" s="598"/>
      <c r="O197" s="601"/>
      <c r="P197" s="595"/>
      <c r="Q197" s="604"/>
      <c r="R197" s="601"/>
      <c r="S197" s="288"/>
      <c r="T197" s="607"/>
      <c r="U197" s="142" t="s">
        <v>208</v>
      </c>
      <c r="V197" s="415"/>
      <c r="W197" s="331"/>
      <c r="X197" s="320" t="str">
        <f>IF(W197=[8]Listas!$B$46,[8]Listas!$C$46,IF(W197=[8]Listas!$B$47,[8]Listas!$C$47,IF(W197=[8]Listas!$B$48,[8]Listas!$C$48,"")))</f>
        <v/>
      </c>
      <c r="Y197" s="321" t="str">
        <f>IF(OR(W197=[8]Listas!$F$53,W197=[8]Listas!$F$54),[8]Listas!$G$53,IF(W197=[8]Listas!$F$55,[8]Listas!$G$55,""))</f>
        <v/>
      </c>
      <c r="Z197" s="331"/>
      <c r="AA197" s="182" t="str">
        <f>+IF(Z197=[8]Listas!$E$46,[8]Listas!$F$46,IF(Z197=[8]Listas!$E$47,[8]Listas!$F$47,""))</f>
        <v/>
      </c>
      <c r="AB197" s="183" t="str">
        <f t="shared" si="27"/>
        <v/>
      </c>
      <c r="AC197" s="319"/>
      <c r="AD197" s="322"/>
      <c r="AE197" s="323"/>
      <c r="AF197" s="305" t="str">
        <f t="shared" si="19"/>
        <v>Muy baja</v>
      </c>
      <c r="AG197" s="145">
        <f>IF(Y197=[8]Listas!$G$53,AG196-(AG196*AB197),AG196)</f>
        <v>0.14399999999999999</v>
      </c>
      <c r="AH197" s="562"/>
      <c r="AI197" s="305" t="str">
        <f t="shared" si="25"/>
        <v>Leve</v>
      </c>
      <c r="AJ197" s="145">
        <f>IF(Y197=[8]Listas!$G$55,AJ196-(AJ196*AB197),AJ196)</f>
        <v>0.2</v>
      </c>
      <c r="AK197" s="562"/>
      <c r="AL197" s="565"/>
      <c r="AM197" s="565"/>
      <c r="AN197" s="565"/>
      <c r="AO197" s="568"/>
      <c r="AP197" s="571"/>
      <c r="AQ197" s="332"/>
      <c r="AR197" s="185"/>
    </row>
    <row r="198" spans="2:44" ht="15" hidden="1" customHeight="1" thickTop="1" x14ac:dyDescent="0.35">
      <c r="B198" s="870"/>
      <c r="C198" s="559"/>
      <c r="D198" s="745"/>
      <c r="E198" s="577"/>
      <c r="F198" s="844"/>
      <c r="G198" s="847"/>
      <c r="H198" s="850"/>
      <c r="I198" s="589"/>
      <c r="J198" s="589"/>
      <c r="K198" s="712"/>
      <c r="L198" s="589"/>
      <c r="M198" s="595"/>
      <c r="N198" s="598"/>
      <c r="O198" s="601"/>
      <c r="P198" s="595"/>
      <c r="Q198" s="604"/>
      <c r="R198" s="601"/>
      <c r="S198" s="289"/>
      <c r="T198" s="607"/>
      <c r="U198" s="142" t="s">
        <v>215</v>
      </c>
      <c r="V198" s="415"/>
      <c r="W198" s="331"/>
      <c r="X198" s="320" t="str">
        <f>IF(W198=[8]Listas!$B$46,[8]Listas!$C$46,IF(W198=[8]Listas!$B$47,[8]Listas!$C$47,IF(W198=[8]Listas!$B$48,[8]Listas!$C$48,"")))</f>
        <v/>
      </c>
      <c r="Y198" s="321" t="str">
        <f>IF(OR(W198=[8]Listas!$F$53,W198=[8]Listas!$F$54),[8]Listas!$G$53,IF(W198=[8]Listas!$F$55,[8]Listas!$G$55,""))</f>
        <v/>
      </c>
      <c r="Z198" s="331"/>
      <c r="AA198" s="182" t="str">
        <f>+IF(Z198=[8]Listas!$E$46,[8]Listas!$F$46,IF(Z198=[8]Listas!$E$47,[8]Listas!$F$47,""))</f>
        <v/>
      </c>
      <c r="AB198" s="183" t="str">
        <f t="shared" si="27"/>
        <v/>
      </c>
      <c r="AC198" s="319"/>
      <c r="AD198" s="322"/>
      <c r="AE198" s="323"/>
      <c r="AF198" s="305" t="str">
        <f t="shared" si="19"/>
        <v>Muy baja</v>
      </c>
      <c r="AG198" s="145">
        <f>IF(Y198=[8]Listas!$G$53,AG197-(AG197*AB198),AG197)</f>
        <v>0.14399999999999999</v>
      </c>
      <c r="AH198" s="562"/>
      <c r="AI198" s="305" t="str">
        <f t="shared" si="25"/>
        <v>Leve</v>
      </c>
      <c r="AJ198" s="145">
        <f>IF(Y198=[8]Listas!$G$55,AJ197-(AJ197*AB198),AJ197)</f>
        <v>0.2</v>
      </c>
      <c r="AK198" s="562"/>
      <c r="AL198" s="565"/>
      <c r="AM198" s="565"/>
      <c r="AN198" s="565"/>
      <c r="AO198" s="568"/>
      <c r="AP198" s="571"/>
      <c r="AQ198" s="333"/>
      <c r="AR198" s="185"/>
    </row>
    <row r="199" spans="2:44" ht="15" hidden="1" customHeight="1" thickTop="1" x14ac:dyDescent="0.35">
      <c r="B199" s="870"/>
      <c r="C199" s="559"/>
      <c r="D199" s="745"/>
      <c r="E199" s="577"/>
      <c r="F199" s="844"/>
      <c r="G199" s="847"/>
      <c r="H199" s="850"/>
      <c r="I199" s="589"/>
      <c r="J199" s="589"/>
      <c r="K199" s="712"/>
      <c r="L199" s="589"/>
      <c r="M199" s="595"/>
      <c r="N199" s="598"/>
      <c r="O199" s="601"/>
      <c r="P199" s="595"/>
      <c r="Q199" s="604"/>
      <c r="R199" s="601"/>
      <c r="S199" s="289"/>
      <c r="T199" s="607"/>
      <c r="U199" s="142" t="s">
        <v>220</v>
      </c>
      <c r="V199" s="415"/>
      <c r="W199" s="331"/>
      <c r="X199" s="320" t="str">
        <f>IF(W199=[8]Listas!$B$46,[8]Listas!$C$46,IF(W199=[8]Listas!$B$47,[8]Listas!$C$47,IF(W199=[8]Listas!$B$48,[8]Listas!$C$48,"")))</f>
        <v/>
      </c>
      <c r="Y199" s="321" t="str">
        <f>IF(OR(W199=[8]Listas!$F$53,W199=[8]Listas!$F$54),[8]Listas!$G$53,IF(W199=[8]Listas!$F$55,[8]Listas!$G$55,""))</f>
        <v/>
      </c>
      <c r="Z199" s="331"/>
      <c r="AA199" s="182" t="str">
        <f>+IF(Z199=[8]Listas!$E$46,[8]Listas!$F$46,IF(Z199=[8]Listas!$E$47,[8]Listas!$F$47,""))</f>
        <v/>
      </c>
      <c r="AB199" s="183" t="str">
        <f t="shared" si="27"/>
        <v/>
      </c>
      <c r="AC199" s="319"/>
      <c r="AD199" s="322"/>
      <c r="AE199" s="323"/>
      <c r="AF199" s="305" t="str">
        <f t="shared" si="19"/>
        <v>Muy baja</v>
      </c>
      <c r="AG199" s="145">
        <f>IF(Y199=[8]Listas!$G$53,AG198-(AG198*AB199),AG198)</f>
        <v>0.14399999999999999</v>
      </c>
      <c r="AH199" s="562"/>
      <c r="AI199" s="305" t="str">
        <f t="shared" si="25"/>
        <v>Leve</v>
      </c>
      <c r="AJ199" s="145">
        <f>IF(Y199=[8]Listas!$G$55,AJ198-(AJ198*AB199),AJ198)</f>
        <v>0.2</v>
      </c>
      <c r="AK199" s="562"/>
      <c r="AL199" s="565"/>
      <c r="AM199" s="565"/>
      <c r="AN199" s="565"/>
      <c r="AO199" s="568"/>
      <c r="AP199" s="571"/>
      <c r="AQ199" s="334"/>
      <c r="AR199" s="185"/>
    </row>
    <row r="200" spans="2:44" ht="15" hidden="1" customHeight="1" thickTop="1" x14ac:dyDescent="0.35">
      <c r="B200" s="870"/>
      <c r="C200" s="559"/>
      <c r="D200" s="745"/>
      <c r="E200" s="577"/>
      <c r="F200" s="844"/>
      <c r="G200" s="847"/>
      <c r="H200" s="850"/>
      <c r="I200" s="589"/>
      <c r="J200" s="589"/>
      <c r="K200" s="712"/>
      <c r="L200" s="589"/>
      <c r="M200" s="595"/>
      <c r="N200" s="598"/>
      <c r="O200" s="601"/>
      <c r="P200" s="595"/>
      <c r="Q200" s="604"/>
      <c r="R200" s="601"/>
      <c r="S200" s="289"/>
      <c r="T200" s="607"/>
      <c r="U200" s="142" t="s">
        <v>223</v>
      </c>
      <c r="V200" s="415"/>
      <c r="W200" s="331"/>
      <c r="X200" s="320" t="str">
        <f>IF(W200=[8]Listas!$B$46,[8]Listas!$C$46,IF(W200=[8]Listas!$B$47,[8]Listas!$C$47,IF(W200=[8]Listas!$B$48,[8]Listas!$C$48,"")))</f>
        <v/>
      </c>
      <c r="Y200" s="321" t="str">
        <f>IF(OR(W200=[8]Listas!$F$53,W200=[8]Listas!$F$54),[8]Listas!$G$53,IF(W200=[8]Listas!$F$55,[8]Listas!$G$55,""))</f>
        <v/>
      </c>
      <c r="Z200" s="331"/>
      <c r="AA200" s="182" t="str">
        <f>+IF(Z200=[8]Listas!$E$46,[8]Listas!$F$46,IF(Z200=[8]Listas!$E$47,[8]Listas!$F$47,""))</f>
        <v/>
      </c>
      <c r="AB200" s="183" t="str">
        <f t="shared" si="27"/>
        <v/>
      </c>
      <c r="AC200" s="319"/>
      <c r="AD200" s="322"/>
      <c r="AE200" s="323"/>
      <c r="AF200" s="305" t="str">
        <f t="shared" si="19"/>
        <v>Muy baja</v>
      </c>
      <c r="AG200" s="145">
        <f>IF(Y200=[8]Listas!$G$53,AG199-(AG199*AB200),AG199)</f>
        <v>0.14399999999999999</v>
      </c>
      <c r="AH200" s="562"/>
      <c r="AI200" s="305" t="str">
        <f t="shared" si="25"/>
        <v>Leve</v>
      </c>
      <c r="AJ200" s="145">
        <f>IF(Y200=[8]Listas!$G$55,AJ199-(AJ199*AB200),AJ199)</f>
        <v>0.2</v>
      </c>
      <c r="AK200" s="562"/>
      <c r="AL200" s="565"/>
      <c r="AM200" s="565"/>
      <c r="AN200" s="565"/>
      <c r="AO200" s="568"/>
      <c r="AP200" s="571"/>
      <c r="AQ200" s="324"/>
      <c r="AR200" s="185"/>
    </row>
    <row r="201" spans="2:44" ht="15.75" hidden="1" customHeight="1" thickTop="1" x14ac:dyDescent="0.35">
      <c r="B201" s="870"/>
      <c r="C201" s="559"/>
      <c r="D201" s="746"/>
      <c r="E201" s="578"/>
      <c r="F201" s="845"/>
      <c r="G201" s="848"/>
      <c r="H201" s="851"/>
      <c r="I201" s="590"/>
      <c r="J201" s="590"/>
      <c r="K201" s="713"/>
      <c r="L201" s="590"/>
      <c r="M201" s="596"/>
      <c r="N201" s="599"/>
      <c r="O201" s="602"/>
      <c r="P201" s="596"/>
      <c r="Q201" s="605"/>
      <c r="R201" s="602"/>
      <c r="S201" s="293"/>
      <c r="T201" s="608"/>
      <c r="U201" s="202" t="s">
        <v>224</v>
      </c>
      <c r="V201" s="416"/>
      <c r="W201" s="335"/>
      <c r="X201" s="336" t="str">
        <f>IF(W201=[8]Listas!$B$46,[8]Listas!$C$46,IF(W201=[8]Listas!$B$47,[8]Listas!$C$47,IF(W201=[8]Listas!$B$48,[8]Listas!$C$48,"")))</f>
        <v/>
      </c>
      <c r="Y201" s="337" t="str">
        <f>IF(OR(W201=[8]Listas!$F$53,W201=[8]Listas!$F$54),[8]Listas!$G$53,IF(W201=[8]Listas!$F$55,[8]Listas!$G$55,""))</f>
        <v/>
      </c>
      <c r="Z201" s="335"/>
      <c r="AA201" s="186" t="str">
        <f>+IF(Z201=[8]Listas!$E$46,[8]Listas!$F$46,IF(Z201=[8]Listas!$E$47,[8]Listas!$F$47,""))</f>
        <v/>
      </c>
      <c r="AB201" s="187" t="str">
        <f t="shared" si="27"/>
        <v/>
      </c>
      <c r="AC201" s="338"/>
      <c r="AD201" s="339"/>
      <c r="AE201" s="340"/>
      <c r="AF201" s="311" t="str">
        <f t="shared" si="19"/>
        <v>Muy baja</v>
      </c>
      <c r="AG201" s="179">
        <f>IF(Y201=[8]Listas!$G$53,AG200-(AG200*AB201),AG200)</f>
        <v>0.14399999999999999</v>
      </c>
      <c r="AH201" s="563"/>
      <c r="AI201" s="311" t="str">
        <f t="shared" si="25"/>
        <v>Leve</v>
      </c>
      <c r="AJ201" s="179">
        <f>IF(Y201=[8]Listas!$G$55,AJ200-(AJ200*AB201),AJ200)</f>
        <v>0.2</v>
      </c>
      <c r="AK201" s="563"/>
      <c r="AL201" s="566"/>
      <c r="AM201" s="566"/>
      <c r="AN201" s="566"/>
      <c r="AO201" s="569"/>
      <c r="AP201" s="572"/>
      <c r="AQ201" s="341"/>
      <c r="AR201" s="188"/>
    </row>
    <row r="202" spans="2:44" ht="57" customHeight="1" thickTop="1" thickBot="1" x14ac:dyDescent="0.4">
      <c r="B202" s="870"/>
      <c r="C202" s="559"/>
      <c r="D202" s="744" t="s">
        <v>385</v>
      </c>
      <c r="E202" s="576" t="s">
        <v>5</v>
      </c>
      <c r="F202" s="843" t="s">
        <v>386</v>
      </c>
      <c r="G202" s="846" t="s">
        <v>387</v>
      </c>
      <c r="H202" s="849" t="s">
        <v>388</v>
      </c>
      <c r="I202" s="588" t="s">
        <v>28</v>
      </c>
      <c r="J202" s="588" t="s">
        <v>22</v>
      </c>
      <c r="K202" s="711" t="s">
        <v>389</v>
      </c>
      <c r="L202" s="588" t="s">
        <v>168</v>
      </c>
      <c r="M202" s="594" t="s">
        <v>214</v>
      </c>
      <c r="N202" s="597" t="str">
        <f>+IF(M202="","",IF(M202=$BO$15,$BN$15,IF(M202=$BO$16,$BN$16,IF(M202=$BO$17,$BN$17,IF(M202=$BO$18,$BN$18,IF(M202=$BO$19,$BN$19))))))</f>
        <v>Media</v>
      </c>
      <c r="O202" s="600">
        <f>+IF(M202="","",IF(M202=$BO$15,$BR$15,IF(M202=$BO$16,$BR$16,IF(M202=$BO$17,$BR$17,IF(M202=$BO$18,$BR$18,IF(M202=$BO$19,$BR$19))))))</f>
        <v>0.6</v>
      </c>
      <c r="P202" s="594" t="s">
        <v>212</v>
      </c>
      <c r="Q202" s="603" t="str">
        <f>+IF(P202="","",IF(P202='[8]Mapa de Calor inherente'!$AF$6,'[8]Mapa de Calor inherente'!$AD$6,IF(P202='[8]Mapa de Calor inherente'!$AF$7,'[8]Mapa de Calor inherente'!$AD$7,IF(P202='[8]Mapa de Calor inherente'!$AF$8,'[8]Mapa de Calor inherente'!$AD$8,IF(P202='[8]Mapa de Calor inherente'!$AF$9,'[8]Mapa de Calor inherente'!$AD$9,IF(P202='[8]Mapa de Calor inherente'!$AF$10,'[8]Mapa de Calor inherente'!$AD$10,IF(P202='[8]Mapa de Calor inherente'!$AG$6,'[8]Mapa de Calor inherente'!$AD$6,IF(P202='[8]Mapa de Calor inherente'!$AG$7,'[8]Mapa de Calor inherente'!$AD$7,IF(P202='[8]Mapa de Calor inherente'!$AG$8,'[8]Mapa de Calor inherente'!$AD$8,IF(P202='[8]Mapa de Calor inherente'!$AG$9,'[8]Mapa de Calor inherente'!$AD$9,IF(P202='[8]Mapa de Calor inherente'!$AG$10,'[8]Mapa de Calor inherente'!$AD$10,IF(P202='[8]Mapa de Calor inherente'!$AD$8,'[8]Mapa de Calor inherente'!$AD$8,IF(P202='[8]Mapa de Calor inherente'!$AD$9,'[8]Mapa de Calor inherente'!$AD$9,IF(P202='[8]Mapa de Calor inherente'!$AD$10,'[8]Mapa de Calor inherente'!$AD$10))))))))))))))</f>
        <v>Moderado</v>
      </c>
      <c r="R202" s="600">
        <f>+IF(P202="","",IF(P202='[8]Mapa de Calor inherente'!$AF$6,'[8]Mapa de Calor inherente'!$AE$6,IF(P202='[8]Mapa de Calor inherente'!$AF$7,'[8]Mapa de Calor inherente'!$AE$7,IF(P202='[8]Mapa de Calor inherente'!$AF$8,'[8]Mapa de Calor inherente'!$AE$8,IF(P202='[8]Mapa de Calor inherente'!$AF$9,'[8]Mapa de Calor inherente'!$AE$9,IF(P202='[8]Mapa de Calor inherente'!$AF$10,'[8]Mapa de Calor inherente'!$AE$10,IF(P202='[8]Mapa de Calor inherente'!$AG$6,'[8]Mapa de Calor inherente'!$AE$6,IF(P202='[8]Mapa de Calor inherente'!$AG$7,'[8]Mapa de Calor inherente'!$AE$7,IF(P202='[8]Mapa de Calor inherente'!$AG$8,'[8]Mapa de Calor inherente'!$AE$8,IF(P202='[8]Mapa de Calor inherente'!$AG$9,'[8]Mapa de Calor inherente'!$AE$9,IF(P202='[8]Mapa de Calor inherente'!$AG$10,'[8]Mapa de Calor inherente'!$AE$10,IF(P202='[8]Mapa de Calor inherente'!$AD$8,'[8]Mapa de Calor inherente'!$AE$8,IF(P202='[8]Mapa de Calor inherente'!$AD$9,'[8]Mapa de Calor inherente'!$AE$9,IF(P202='[8]Mapa de Calor inherente'!$AD$10,'[8]Mapa de Calor inherente'!$AE$10))))))))))))))</f>
        <v>0.6</v>
      </c>
      <c r="S202" s="292"/>
      <c r="T202" s="603" t="str">
        <f>+IF(N202=$BB$17,IF(Q202=$BC$16,$BC$17,IF(Q202=$BD$16,$BD$17,IF(Q202=$BE$16,$BE$17,IF(Q202=$BF$16,$BF$17,IF(Q202=$BG$16,$BG$17))))),IF(N202=$BB$18,IF(Q202=$BC$16,$BC$18,IF(Q202=$BD$16,$BD$18,IF(Q202=$BE$16,$BE$18,IF(Q202=$BF$16,$BF$18,IF(Q202=$BG$16,$BG$18))))),IF(N202=$BB$19,IF(Q202=$BC$16,$BC$19,IF(Q202=$BD$16,$BD$19,IF(Q202=$BE$16,$BE$19,IF(Q202=$BF$16,$BF$19,IF(Q202=$BG$16,$BG$19))))),IF(N202=$BB$20,IF(Q202=$BC$16,$BC$20,IF(Q202=$BD$16,$BD$20,IF(Q202=$BE$16,$BE$20,IF(Q202=$BF$16,$BF$20,IF(Q202=$BG$16,$BG$20))))),IF(N202=$BB$21,IF(Q202=$BC$16,$BC$21,IF(Q202=$BD$16,$BD$21,IF(Q202=$BE$16,$BE$21,IF(Q202=$BF$16,$BF$21,IF(Q202=$BG$16,$BG$21))))),"")))))</f>
        <v>Moderado</v>
      </c>
      <c r="U202" s="139" t="s">
        <v>171</v>
      </c>
      <c r="V202" s="527" t="s">
        <v>390</v>
      </c>
      <c r="W202" s="313" t="s">
        <v>40</v>
      </c>
      <c r="X202" s="314">
        <f>IF(W202=[8]Listas!$B$46,[8]Listas!$C$46,IF(W202=[8]Listas!$B$47,[8]Listas!$C$47,IF(W202=[8]Listas!$B$48,[8]Listas!$C$48,"")))</f>
        <v>0.25</v>
      </c>
      <c r="Y202" s="315" t="str">
        <f>IF(OR(W202=[8]Listas!$F$53,W202=[8]Listas!$F$54),[8]Listas!$G$53,IF(W202=[8]Listas!$F$55,[8]Listas!$G$55,""))</f>
        <v>Probabilidad</v>
      </c>
      <c r="Z202" s="313" t="s">
        <v>43</v>
      </c>
      <c r="AA202" s="314">
        <f>+IF(Z202=[8]Listas!$E$46,[8]Listas!$F$46,IF(Z202=[8]Listas!$E$47,[8]Listas!$F$47,""))</f>
        <v>0.15</v>
      </c>
      <c r="AB202" s="181">
        <f>IFERROR(X202+AA202,"")</f>
        <v>0.4</v>
      </c>
      <c r="AC202" s="313" t="s">
        <v>57</v>
      </c>
      <c r="AD202" s="313" t="s">
        <v>58</v>
      </c>
      <c r="AE202" s="317" t="s">
        <v>59</v>
      </c>
      <c r="AF202" s="299" t="str">
        <f t="shared" si="19"/>
        <v>Baja</v>
      </c>
      <c r="AG202" s="141">
        <f>IF(Y202=[8]Listas!$G$53,O202-(O202*AB202),O202)</f>
        <v>0.36</v>
      </c>
      <c r="AH202" s="561">
        <f>+IF(AG211="","",AG211)</f>
        <v>0.216</v>
      </c>
      <c r="AI202" s="299" t="str">
        <f>IF(AJ202="","",IF(AJ202&lt;=20%,"Leve",IF(AJ202&lt;=40%,"Menor",IF(AJ202&lt;=60%,"Moderado",IF(AJ202&lt;=80%,"Mayor","Catastrófico")))))</f>
        <v>Moderado</v>
      </c>
      <c r="AJ202" s="141">
        <f>IF(Y202=[8]Listas!$G$55,R202-(R202*AB202),R202)</f>
        <v>0.6</v>
      </c>
      <c r="AK202" s="561">
        <f>+IF(AJ211="","",AJ211)</f>
        <v>0.6</v>
      </c>
      <c r="AL202" s="564" t="str">
        <f>+IF(AH202=0,"",IF(AH202&lt;=$BA$21,$BB$21,IF(AH202&lt;=$BA$20,$BB$20,IF(AH202&lt;=$BA$19,$BB$19,IF(AH202&lt;=$BA$18,$BB$18,IF(AH202&lt;=$BA$17,$BB$17,""))))))</f>
        <v>Baja</v>
      </c>
      <c r="AM202" s="564" t="str">
        <f>+IF(AK202=0,"",IF(AK202&lt;=$BC$15,$BC$16,IF(AK202&lt;=$BD$15,$BD$16,IF(AK202&lt;=$BE$15,$BE$16,IF(AK202&lt;=$BF$15,$BF$16,IF(AK202&lt;=$BG$15,$BG$16,""))))))</f>
        <v>Moderado</v>
      </c>
      <c r="AN202" s="564" t="str">
        <f>IF(AL202=$BB$17,IF(AM202=$BC$16,$BC$17,IF(AM202=$BD$16,$BD$17,IF(AM202=$BE$16,$BE$17,IF(AM202=$BF$16,$BF$17,IF(AM202=$BG$16,$BG$17))))),IF(AL202=$BB$18,IF(AM202=$BC$16,$BC$18,IF(AM202=$BD$16,$BD$18,IF(AM202=$BE$16,$BE$18,IF(AM202=$BF$16,$BF$18,IF(AM202=$BG$16,$BG$18))))),IF(AL202=$BB$19,IF(AM202=$BC$16,$BC$19,IF(AM202=$BD$16,$BD$19,IF(AM202=$BE$16,$BE$19,IF(AM202=$BF$16,$BF$19,IF(AM202=$BG$16,$BG$19))))),IF(AL202=$BB$20,IF(AM202=$BC$16,$BC$20,IF(AM202=$BD$16,$BD$20,IF(AM202=$BE$16,$BE$20,IF(AM202=$BF$16,$BF$20,IF(AM202=$BG$16,$BG$20))))),IF(AL202=$BB$21,IF(AM202=$BC$16,$BC$21,IF(AM202=$BD$16,$BD$21,IF(AM202=$BE$16,$BE$21,IF(AM202=$BF$16,$BF$21,IF(AM202=$BG$16,$BG$21))))),"")))))</f>
        <v>Moderado</v>
      </c>
      <c r="AO202" s="567" t="str">
        <f>IF(AP202="","",IF(AP202=[8]Listas!$F$61,[8]Listas!$G$61,IF(AP202=[8]Listas!$F$63,[8]Listas!$G$63,IF(AP202=[8]Listas!$F$64,[8]Listas!$G$64))))</f>
        <v>Requiere Plan de Acción</v>
      </c>
      <c r="AP202" s="570" t="str">
        <f>IF(AN202="","",IF(OR(AN202=[8]Listas!$E$61,AN202=[8]Listas!$E$62),[8]Listas!$F$61,IF(AN202=[8]Listas!$E$63,[8]Listas!$F$63,IF(AN202=[8]Listas!$E$64,[8]Listas!$F$64))))</f>
        <v>Aceptar o reducir el riesgo</v>
      </c>
      <c r="AQ202" s="342" t="s">
        <v>90</v>
      </c>
      <c r="AR202" s="535" t="s">
        <v>391</v>
      </c>
    </row>
    <row r="203" spans="2:44" ht="99.75" customHeight="1" thickTop="1" thickBot="1" x14ac:dyDescent="0.4">
      <c r="B203" s="870"/>
      <c r="C203" s="559"/>
      <c r="D203" s="745"/>
      <c r="E203" s="577"/>
      <c r="F203" s="844"/>
      <c r="G203" s="847"/>
      <c r="H203" s="850"/>
      <c r="I203" s="589"/>
      <c r="J203" s="589"/>
      <c r="K203" s="712"/>
      <c r="L203" s="589"/>
      <c r="M203" s="595"/>
      <c r="N203" s="598"/>
      <c r="O203" s="601"/>
      <c r="P203" s="595"/>
      <c r="Q203" s="604"/>
      <c r="R203" s="601"/>
      <c r="S203" s="286"/>
      <c r="T203" s="604"/>
      <c r="U203" s="142" t="s">
        <v>174</v>
      </c>
      <c r="V203" s="528" t="s">
        <v>392</v>
      </c>
      <c r="W203" s="331" t="s">
        <v>40</v>
      </c>
      <c r="X203" s="320">
        <f>IF(W203=[8]Listas!$B$46,[8]Listas!$C$46,IF(W203=[8]Listas!$B$47,[8]Listas!$C$47,IF(W203=[8]Listas!$B$48,[8]Listas!$C$48,"")))</f>
        <v>0.25</v>
      </c>
      <c r="Y203" s="321" t="str">
        <f>IF(OR(W203=[8]Listas!$F$53,W203=[8]Listas!$F$54),[8]Listas!$G$53,IF(W203=[8]Listas!$F$55,[8]Listas!$G$55,""))</f>
        <v>Probabilidad</v>
      </c>
      <c r="Z203" s="331" t="s">
        <v>43</v>
      </c>
      <c r="AA203" s="182">
        <f>+IF(Z203=[8]Listas!$E$46,[8]Listas!$F$46,IF(Z203=[8]Listas!$E$47,[8]Listas!$F$47,""))</f>
        <v>0.15</v>
      </c>
      <c r="AB203" s="183">
        <f>IFERROR(X203+AA203,"")</f>
        <v>0.4</v>
      </c>
      <c r="AC203" s="319" t="s">
        <v>57</v>
      </c>
      <c r="AD203" s="319" t="s">
        <v>58</v>
      </c>
      <c r="AE203" s="323" t="s">
        <v>59</v>
      </c>
      <c r="AF203" s="305" t="str">
        <f t="shared" si="19"/>
        <v>Baja</v>
      </c>
      <c r="AG203" s="145">
        <f>IF(Y203=[8]Listas!$G$53,AG202-(AG202*AB203),AG202)</f>
        <v>0.216</v>
      </c>
      <c r="AH203" s="562"/>
      <c r="AI203" s="305" t="str">
        <f t="shared" si="25"/>
        <v>Moderado</v>
      </c>
      <c r="AJ203" s="145">
        <f>IF(Y203=[8]Listas!$G$55,AJ202-(AJ202*AB203),AJ202)</f>
        <v>0.6</v>
      </c>
      <c r="AK203" s="562"/>
      <c r="AL203" s="565"/>
      <c r="AM203" s="565"/>
      <c r="AN203" s="565"/>
      <c r="AO203" s="568"/>
      <c r="AP203" s="571"/>
      <c r="AQ203" s="343" t="s">
        <v>90</v>
      </c>
      <c r="AR203" s="534" t="s">
        <v>393</v>
      </c>
    </row>
    <row r="204" spans="2:44" ht="15" hidden="1" customHeight="1" x14ac:dyDescent="0.35">
      <c r="B204" s="870"/>
      <c r="C204" s="280"/>
      <c r="D204" s="745"/>
      <c r="E204" s="577"/>
      <c r="F204" s="844"/>
      <c r="G204" s="847"/>
      <c r="H204" s="850"/>
      <c r="I204" s="589"/>
      <c r="J204" s="589"/>
      <c r="K204" s="712"/>
      <c r="L204" s="589"/>
      <c r="M204" s="595"/>
      <c r="N204" s="598"/>
      <c r="O204" s="601"/>
      <c r="P204" s="595"/>
      <c r="Q204" s="604"/>
      <c r="R204" s="601"/>
      <c r="S204" s="287"/>
      <c r="T204" s="604"/>
      <c r="U204" s="142" t="s">
        <v>180</v>
      </c>
      <c r="V204" s="415"/>
      <c r="W204" s="331"/>
      <c r="X204" s="320" t="str">
        <f>IF(W204=[8]Listas!$B$46,[8]Listas!$C$46,IF(W204=[8]Listas!$B$47,[8]Listas!$C$47,IF(W204=[8]Listas!$B$48,[8]Listas!$C$48,"")))</f>
        <v/>
      </c>
      <c r="Y204" s="321" t="str">
        <f>IF(OR(W204=[8]Listas!$F$53,W204=[8]Listas!$F$54),[8]Listas!$G$53,IF(W204=[8]Listas!$F$55,[8]Listas!$G$55,""))</f>
        <v/>
      </c>
      <c r="Z204" s="331"/>
      <c r="AA204" s="182" t="str">
        <f>+IF(Z204=[8]Listas!$E$46,[8]Listas!$F$46,IF(Z204=[8]Listas!$E$47,[8]Listas!$F$47,""))</f>
        <v/>
      </c>
      <c r="AB204" s="183" t="str">
        <f>IFERROR(X204+AA204,"")</f>
        <v/>
      </c>
      <c r="AC204" s="319"/>
      <c r="AD204" s="319"/>
      <c r="AE204" s="323"/>
      <c r="AF204" s="305" t="str">
        <f t="shared" ref="AF204:AF267" si="28">IF(AG204="","",IF(AG204&lt;=20%,"Muy baja",IF(AG204&lt;=40%,"Baja",IF(AG204&lt;=60%,"Media",IF(AG204&lt;=80%,"Alta","Muy alta")))))</f>
        <v>Baja</v>
      </c>
      <c r="AG204" s="145">
        <f>IF(Y204=[8]Listas!$G$53,AG203-(AG203*AB204),AG203)</f>
        <v>0.216</v>
      </c>
      <c r="AH204" s="562"/>
      <c r="AI204" s="305" t="str">
        <f t="shared" si="25"/>
        <v>Moderado</v>
      </c>
      <c r="AJ204" s="145">
        <f>IF(Y204=[8]Listas!$G$55,AJ203-(AJ203*AB204),AJ203)</f>
        <v>0.6</v>
      </c>
      <c r="AK204" s="562"/>
      <c r="AL204" s="565"/>
      <c r="AM204" s="565"/>
      <c r="AN204" s="565"/>
      <c r="AO204" s="568"/>
      <c r="AP204" s="571"/>
      <c r="AQ204" s="343"/>
      <c r="AR204" s="191"/>
    </row>
    <row r="205" spans="2:44" ht="15" hidden="1" customHeight="1" x14ac:dyDescent="0.35">
      <c r="B205" s="870"/>
      <c r="C205" s="280"/>
      <c r="D205" s="745"/>
      <c r="E205" s="577"/>
      <c r="F205" s="844"/>
      <c r="G205" s="847"/>
      <c r="H205" s="850"/>
      <c r="I205" s="589"/>
      <c r="J205" s="589"/>
      <c r="K205" s="712"/>
      <c r="L205" s="589"/>
      <c r="M205" s="595"/>
      <c r="N205" s="598"/>
      <c r="O205" s="601"/>
      <c r="P205" s="595"/>
      <c r="Q205" s="604"/>
      <c r="R205" s="601"/>
      <c r="S205" s="287"/>
      <c r="T205" s="604"/>
      <c r="U205" s="142" t="s">
        <v>190</v>
      </c>
      <c r="V205" s="415"/>
      <c r="W205" s="331"/>
      <c r="X205" s="320" t="str">
        <f>IF(W205=[8]Listas!$B$46,[8]Listas!$C$46,IF(W205=[8]Listas!$B$47,[8]Listas!$C$47,IF(W205=[8]Listas!$B$48,[8]Listas!$C$48,"")))</f>
        <v/>
      </c>
      <c r="Y205" s="321" t="str">
        <f>IF(OR(W205=[8]Listas!$F$53,W205=[8]Listas!$F$54),[8]Listas!$G$53,IF(W205=[8]Listas!$F$55,[8]Listas!$G$55,""))</f>
        <v/>
      </c>
      <c r="Z205" s="331"/>
      <c r="AA205" s="182" t="str">
        <f>+IF(Z205=[8]Listas!$E$46,[8]Listas!$F$46,IF(Z205=[8]Listas!$E$47,[8]Listas!$F$47,""))</f>
        <v/>
      </c>
      <c r="AB205" s="183" t="str">
        <f t="shared" ref="AB205:AB211" si="29">IFERROR(X205+AA205,"")</f>
        <v/>
      </c>
      <c r="AC205" s="319"/>
      <c r="AD205" s="319"/>
      <c r="AE205" s="323"/>
      <c r="AF205" s="305" t="str">
        <f t="shared" si="28"/>
        <v>Baja</v>
      </c>
      <c r="AG205" s="145">
        <f>IF(Y205=[8]Listas!$G$53,AG204-(AG204*AB205),AG204)</f>
        <v>0.216</v>
      </c>
      <c r="AH205" s="562"/>
      <c r="AI205" s="305" t="str">
        <f t="shared" si="25"/>
        <v>Moderado</v>
      </c>
      <c r="AJ205" s="145">
        <f>IF(Y205=[8]Listas!$G$55,AJ204-(AJ204*AB205),AJ204)</f>
        <v>0.6</v>
      </c>
      <c r="AK205" s="562"/>
      <c r="AL205" s="565"/>
      <c r="AM205" s="565"/>
      <c r="AN205" s="565"/>
      <c r="AO205" s="568"/>
      <c r="AP205" s="571"/>
      <c r="AQ205" s="344"/>
      <c r="AR205" s="191"/>
    </row>
    <row r="206" spans="2:44" ht="15" hidden="1" customHeight="1" x14ac:dyDescent="0.35">
      <c r="B206" s="870"/>
      <c r="C206" s="280"/>
      <c r="D206" s="745"/>
      <c r="E206" s="577"/>
      <c r="F206" s="844"/>
      <c r="G206" s="847"/>
      <c r="H206" s="850"/>
      <c r="I206" s="589"/>
      <c r="J206" s="589"/>
      <c r="K206" s="712"/>
      <c r="L206" s="589"/>
      <c r="M206" s="595"/>
      <c r="N206" s="598"/>
      <c r="O206" s="601"/>
      <c r="P206" s="595"/>
      <c r="Q206" s="604"/>
      <c r="R206" s="601"/>
      <c r="S206" s="287"/>
      <c r="T206" s="604"/>
      <c r="U206" s="142" t="s">
        <v>198</v>
      </c>
      <c r="V206" s="415"/>
      <c r="W206" s="331"/>
      <c r="X206" s="320" t="str">
        <f>IF(W206=[8]Listas!$B$46,[8]Listas!$C$46,IF(W206=[8]Listas!$B$47,[8]Listas!$C$47,IF(W206=[8]Listas!$B$48,[8]Listas!$C$48,"")))</f>
        <v/>
      </c>
      <c r="Y206" s="321" t="str">
        <f>IF(OR(W206=[8]Listas!$F$53,W206=[8]Listas!$F$54),[8]Listas!$G$53,IF(W206=[8]Listas!$F$55,[8]Listas!$G$55,""))</f>
        <v/>
      </c>
      <c r="Z206" s="331"/>
      <c r="AA206" s="182" t="str">
        <f>+IF(Z206=[8]Listas!$E$46,[8]Listas!$F$46,IF(Z206=[8]Listas!$E$47,[8]Listas!$F$47,""))</f>
        <v/>
      </c>
      <c r="AB206" s="183" t="str">
        <f t="shared" si="29"/>
        <v/>
      </c>
      <c r="AC206" s="319"/>
      <c r="AD206" s="319"/>
      <c r="AE206" s="323"/>
      <c r="AF206" s="305" t="str">
        <f t="shared" si="28"/>
        <v>Baja</v>
      </c>
      <c r="AG206" s="145">
        <f>IF(Y206=[8]Listas!$G$53,AG205-(AG205*AB206),AG205)</f>
        <v>0.216</v>
      </c>
      <c r="AH206" s="562"/>
      <c r="AI206" s="305" t="str">
        <f t="shared" si="25"/>
        <v>Moderado</v>
      </c>
      <c r="AJ206" s="145">
        <f>IF(Y206=[8]Listas!$G$55,AJ205-(AJ205*AB206),AJ205)</f>
        <v>0.6</v>
      </c>
      <c r="AK206" s="562"/>
      <c r="AL206" s="565"/>
      <c r="AM206" s="565"/>
      <c r="AN206" s="565"/>
      <c r="AO206" s="568"/>
      <c r="AP206" s="571"/>
      <c r="AQ206" s="343"/>
      <c r="AR206" s="191"/>
    </row>
    <row r="207" spans="2:44" ht="15.75" hidden="1" customHeight="1" thickBot="1" x14ac:dyDescent="0.4">
      <c r="B207" s="870"/>
      <c r="C207" s="280"/>
      <c r="D207" s="745"/>
      <c r="E207" s="577"/>
      <c r="F207" s="844"/>
      <c r="G207" s="847"/>
      <c r="H207" s="850"/>
      <c r="I207" s="589"/>
      <c r="J207" s="589"/>
      <c r="K207" s="712"/>
      <c r="L207" s="589"/>
      <c r="M207" s="595"/>
      <c r="N207" s="598"/>
      <c r="O207" s="601"/>
      <c r="P207" s="595"/>
      <c r="Q207" s="604"/>
      <c r="R207" s="601"/>
      <c r="S207" s="288"/>
      <c r="T207" s="604"/>
      <c r="U207" s="142" t="s">
        <v>208</v>
      </c>
      <c r="V207" s="415"/>
      <c r="W207" s="331"/>
      <c r="X207" s="320" t="str">
        <f>IF(W207=[8]Listas!$B$46,[8]Listas!$C$46,IF(W207=[8]Listas!$B$47,[8]Listas!$C$47,IF(W207=[8]Listas!$B$48,[8]Listas!$C$48,"")))</f>
        <v/>
      </c>
      <c r="Y207" s="321" t="str">
        <f>IF(OR(W207=[8]Listas!$F$53,W207=[8]Listas!$F$54),[8]Listas!$G$53,IF(W207=[8]Listas!$F$55,[8]Listas!$G$55,""))</f>
        <v/>
      </c>
      <c r="Z207" s="331"/>
      <c r="AA207" s="182" t="str">
        <f>+IF(Z207=[8]Listas!$E$46,[8]Listas!$F$46,IF(Z207=[8]Listas!$E$47,[8]Listas!$F$47,""))</f>
        <v/>
      </c>
      <c r="AB207" s="183" t="str">
        <f t="shared" si="29"/>
        <v/>
      </c>
      <c r="AC207" s="319"/>
      <c r="AD207" s="319"/>
      <c r="AE207" s="323"/>
      <c r="AF207" s="305" t="str">
        <f t="shared" si="28"/>
        <v>Baja</v>
      </c>
      <c r="AG207" s="145">
        <f>IF(Y207=[8]Listas!$G$53,AG206-(AG206*AB207),AG206)</f>
        <v>0.216</v>
      </c>
      <c r="AH207" s="562"/>
      <c r="AI207" s="305" t="str">
        <f t="shared" si="25"/>
        <v>Moderado</v>
      </c>
      <c r="AJ207" s="145">
        <f>IF(Y207=[8]Listas!$G$55,AJ206-(AJ206*AB207),AJ206)</f>
        <v>0.6</v>
      </c>
      <c r="AK207" s="562"/>
      <c r="AL207" s="565"/>
      <c r="AM207" s="565"/>
      <c r="AN207" s="565"/>
      <c r="AO207" s="568"/>
      <c r="AP207" s="571"/>
      <c r="AQ207" s="344"/>
      <c r="AR207" s="191"/>
    </row>
    <row r="208" spans="2:44" ht="15" hidden="1" customHeight="1" x14ac:dyDescent="0.35">
      <c r="B208" s="870"/>
      <c r="C208" s="280"/>
      <c r="D208" s="745"/>
      <c r="E208" s="577"/>
      <c r="F208" s="844"/>
      <c r="G208" s="847"/>
      <c r="H208" s="850"/>
      <c r="I208" s="589"/>
      <c r="J208" s="589"/>
      <c r="K208" s="712"/>
      <c r="L208" s="589"/>
      <c r="M208" s="595"/>
      <c r="N208" s="598"/>
      <c r="O208" s="601"/>
      <c r="P208" s="595"/>
      <c r="Q208" s="604"/>
      <c r="R208" s="601"/>
      <c r="S208" s="289"/>
      <c r="T208" s="604"/>
      <c r="U208" s="142" t="s">
        <v>215</v>
      </c>
      <c r="V208" s="418"/>
      <c r="W208" s="331"/>
      <c r="X208" s="320" t="str">
        <f>IF(W208=[8]Listas!$B$46,[8]Listas!$C$46,IF(W208=[8]Listas!$B$47,[8]Listas!$C$47,IF(W208=[8]Listas!$B$48,[8]Listas!$C$48,"")))</f>
        <v/>
      </c>
      <c r="Y208" s="321" t="str">
        <f>IF(OR(W208=[8]Listas!$F$53,W208=[8]Listas!$F$54),[8]Listas!$G$53,IF(W208=[8]Listas!$F$55,[8]Listas!$G$55,""))</f>
        <v/>
      </c>
      <c r="Z208" s="331"/>
      <c r="AA208" s="182" t="str">
        <f>+IF(Z208=[8]Listas!$E$46,[8]Listas!$F$46,IF(Z208=[8]Listas!$E$47,[8]Listas!$F$47,""))</f>
        <v/>
      </c>
      <c r="AB208" s="183" t="str">
        <f t="shared" si="29"/>
        <v/>
      </c>
      <c r="AC208" s="319"/>
      <c r="AD208" s="322"/>
      <c r="AE208" s="323"/>
      <c r="AF208" s="305" t="str">
        <f t="shared" si="28"/>
        <v>Baja</v>
      </c>
      <c r="AG208" s="145">
        <f>IF(Y208=[8]Listas!$G$53,AG207-(AG207*AB208),AG207)</f>
        <v>0.216</v>
      </c>
      <c r="AH208" s="562"/>
      <c r="AI208" s="305" t="str">
        <f t="shared" si="25"/>
        <v>Moderado</v>
      </c>
      <c r="AJ208" s="145">
        <f>IF(Y208=[8]Listas!$G$55,AJ207-(AJ207*AB208),AJ207)</f>
        <v>0.6</v>
      </c>
      <c r="AK208" s="562"/>
      <c r="AL208" s="565"/>
      <c r="AM208" s="565"/>
      <c r="AN208" s="565"/>
      <c r="AO208" s="568"/>
      <c r="AP208" s="571"/>
      <c r="AQ208" s="345"/>
      <c r="AR208" s="191"/>
    </row>
    <row r="209" spans="2:70" ht="15" hidden="1" customHeight="1" x14ac:dyDescent="0.35">
      <c r="B209" s="870"/>
      <c r="C209" s="280"/>
      <c r="D209" s="745"/>
      <c r="E209" s="577"/>
      <c r="F209" s="844"/>
      <c r="G209" s="847"/>
      <c r="H209" s="850"/>
      <c r="I209" s="589"/>
      <c r="J209" s="589"/>
      <c r="K209" s="712"/>
      <c r="L209" s="589"/>
      <c r="M209" s="595"/>
      <c r="N209" s="598"/>
      <c r="O209" s="601"/>
      <c r="P209" s="595"/>
      <c r="Q209" s="604"/>
      <c r="R209" s="601"/>
      <c r="S209" s="289"/>
      <c r="T209" s="604"/>
      <c r="U209" s="142" t="s">
        <v>220</v>
      </c>
      <c r="V209" s="418"/>
      <c r="W209" s="331"/>
      <c r="X209" s="320" t="str">
        <f>IF(W209=[8]Listas!$B$46,[8]Listas!$C$46,IF(W209=[8]Listas!$B$47,[8]Listas!$C$47,IF(W209=[8]Listas!$B$48,[8]Listas!$C$48,"")))</f>
        <v/>
      </c>
      <c r="Y209" s="321" t="str">
        <f>IF(OR(W209=[8]Listas!$F$53,W209=[8]Listas!$F$54),[8]Listas!$G$53,IF(W209=[8]Listas!$F$55,[8]Listas!$G$55,""))</f>
        <v/>
      </c>
      <c r="Z209" s="331"/>
      <c r="AA209" s="182" t="str">
        <f>+IF(Z209=[8]Listas!$E$46,[8]Listas!$F$46,IF(Z209=[8]Listas!$E$47,[8]Listas!$F$47,""))</f>
        <v/>
      </c>
      <c r="AB209" s="183" t="str">
        <f t="shared" si="29"/>
        <v/>
      </c>
      <c r="AC209" s="319"/>
      <c r="AD209" s="322"/>
      <c r="AE209" s="323"/>
      <c r="AF209" s="305" t="str">
        <f t="shared" si="28"/>
        <v>Baja</v>
      </c>
      <c r="AG209" s="145">
        <f>IF(Y209=[8]Listas!$G$53,AG208-(AG208*AB209),AG208)</f>
        <v>0.216</v>
      </c>
      <c r="AH209" s="562"/>
      <c r="AI209" s="305" t="str">
        <f t="shared" si="25"/>
        <v>Moderado</v>
      </c>
      <c r="AJ209" s="145">
        <f>IF(Y209=[8]Listas!$G$55,AJ208-(AJ208*AB209),AJ208)</f>
        <v>0.6</v>
      </c>
      <c r="AK209" s="562"/>
      <c r="AL209" s="565"/>
      <c r="AM209" s="565"/>
      <c r="AN209" s="565"/>
      <c r="AO209" s="568"/>
      <c r="AP209" s="571"/>
      <c r="AQ209" s="343"/>
      <c r="AR209" s="191"/>
    </row>
    <row r="210" spans="2:70" ht="15" hidden="1" customHeight="1" x14ac:dyDescent="0.35">
      <c r="B210" s="870"/>
      <c r="C210" s="280"/>
      <c r="D210" s="745"/>
      <c r="E210" s="577"/>
      <c r="F210" s="844"/>
      <c r="G210" s="847"/>
      <c r="H210" s="850"/>
      <c r="I210" s="589"/>
      <c r="J210" s="589"/>
      <c r="K210" s="712"/>
      <c r="L210" s="589"/>
      <c r="M210" s="595"/>
      <c r="N210" s="598"/>
      <c r="O210" s="601"/>
      <c r="P210" s="595"/>
      <c r="Q210" s="604"/>
      <c r="R210" s="601"/>
      <c r="S210" s="289"/>
      <c r="T210" s="604"/>
      <c r="U210" s="142" t="s">
        <v>223</v>
      </c>
      <c r="V210" s="418"/>
      <c r="W210" s="331"/>
      <c r="X210" s="320" t="str">
        <f>IF(W210=[8]Listas!$B$46,[8]Listas!$C$46,IF(W210=[8]Listas!$B$47,[8]Listas!$C$47,IF(W210=[8]Listas!$B$48,[8]Listas!$C$48,"")))</f>
        <v/>
      </c>
      <c r="Y210" s="321" t="str">
        <f>IF(OR(W210=[8]Listas!$F$53,W210=[8]Listas!$F$54),[8]Listas!$G$53,IF(W210=[8]Listas!$F$55,[8]Listas!$G$55,""))</f>
        <v/>
      </c>
      <c r="Z210" s="331"/>
      <c r="AA210" s="182" t="str">
        <f>+IF(Z210=[8]Listas!$E$46,[8]Listas!$F$46,IF(Z210=[8]Listas!$E$47,[8]Listas!$F$47,""))</f>
        <v/>
      </c>
      <c r="AB210" s="183" t="str">
        <f t="shared" si="29"/>
        <v/>
      </c>
      <c r="AC210" s="319"/>
      <c r="AD210" s="322"/>
      <c r="AE210" s="323"/>
      <c r="AF210" s="305" t="str">
        <f t="shared" si="28"/>
        <v>Baja</v>
      </c>
      <c r="AG210" s="145">
        <f>IF(Y210=[8]Listas!$G$53,AG209-(AG209*AB210),AG209)</f>
        <v>0.216</v>
      </c>
      <c r="AH210" s="562"/>
      <c r="AI210" s="305" t="str">
        <f t="shared" si="25"/>
        <v>Moderado</v>
      </c>
      <c r="AJ210" s="145">
        <f>IF(Y210=[8]Listas!$G$55,AJ209-(AJ209*AB210),AJ209)</f>
        <v>0.6</v>
      </c>
      <c r="AK210" s="562"/>
      <c r="AL210" s="565"/>
      <c r="AM210" s="565"/>
      <c r="AN210" s="565"/>
      <c r="AO210" s="568"/>
      <c r="AP210" s="571"/>
      <c r="AQ210" s="344"/>
      <c r="AR210" s="191"/>
    </row>
    <row r="211" spans="2:70" ht="15.75" hidden="1" customHeight="1" thickBot="1" x14ac:dyDescent="0.4">
      <c r="B211" s="870"/>
      <c r="C211" s="280"/>
      <c r="D211" s="746"/>
      <c r="E211" s="578"/>
      <c r="F211" s="845"/>
      <c r="G211" s="848"/>
      <c r="H211" s="851"/>
      <c r="I211" s="590"/>
      <c r="J211" s="590"/>
      <c r="K211" s="713"/>
      <c r="L211" s="590"/>
      <c r="M211" s="596"/>
      <c r="N211" s="599"/>
      <c r="O211" s="602"/>
      <c r="P211" s="596"/>
      <c r="Q211" s="605"/>
      <c r="R211" s="602"/>
      <c r="S211" s="293"/>
      <c r="T211" s="605"/>
      <c r="U211" s="202" t="s">
        <v>224</v>
      </c>
      <c r="V211" s="416"/>
      <c r="W211" s="335"/>
      <c r="X211" s="336" t="str">
        <f>IF(W211=[8]Listas!$B$46,[8]Listas!$C$46,IF(W211=[8]Listas!$B$47,[8]Listas!$C$47,IF(W211=[8]Listas!$B$48,[8]Listas!$C$48,"")))</f>
        <v/>
      </c>
      <c r="Y211" s="337" t="str">
        <f>IF(OR(W211=[8]Listas!$F$53,W211=[8]Listas!$F$54),[8]Listas!$G$53,IF(W211=[8]Listas!$F$55,[8]Listas!$G$55,""))</f>
        <v/>
      </c>
      <c r="Z211" s="335"/>
      <c r="AA211" s="186" t="str">
        <f>+IF(Z211=[8]Listas!$E$46,[8]Listas!$F$46,IF(Z211=[8]Listas!$E$47,[8]Listas!$F$47,""))</f>
        <v/>
      </c>
      <c r="AB211" s="187" t="str">
        <f t="shared" si="29"/>
        <v/>
      </c>
      <c r="AC211" s="338"/>
      <c r="AD211" s="339"/>
      <c r="AE211" s="340"/>
      <c r="AF211" s="311" t="str">
        <f t="shared" si="28"/>
        <v>Baja</v>
      </c>
      <c r="AG211" s="179">
        <f>IF(Y211=[8]Listas!$G$53,AG210-(AG210*AB211),AG210)</f>
        <v>0.216</v>
      </c>
      <c r="AH211" s="563"/>
      <c r="AI211" s="311" t="str">
        <f t="shared" si="25"/>
        <v>Moderado</v>
      </c>
      <c r="AJ211" s="179">
        <f>IF(Y211=[8]Listas!$G$55,AJ210-(AJ210*AB211),AJ210)</f>
        <v>0.6</v>
      </c>
      <c r="AK211" s="563"/>
      <c r="AL211" s="566"/>
      <c r="AM211" s="566"/>
      <c r="AN211" s="566"/>
      <c r="AO211" s="569"/>
      <c r="AP211" s="572"/>
      <c r="AQ211" s="346"/>
      <c r="AR211" s="192"/>
    </row>
    <row r="212" spans="2:70" ht="74.5" customHeight="1" thickTop="1" thickBot="1" x14ac:dyDescent="0.4">
      <c r="B212" s="870"/>
      <c r="C212" s="560" t="s">
        <v>98</v>
      </c>
      <c r="D212" s="760" t="s">
        <v>394</v>
      </c>
      <c r="E212" s="576" t="s">
        <v>5</v>
      </c>
      <c r="F212" s="677" t="s">
        <v>395</v>
      </c>
      <c r="G212" s="685" t="s">
        <v>396</v>
      </c>
      <c r="H212" s="688" t="s">
        <v>397</v>
      </c>
      <c r="I212" s="588" t="s">
        <v>28</v>
      </c>
      <c r="J212" s="588" t="s">
        <v>22</v>
      </c>
      <c r="K212" s="591" t="s">
        <v>398</v>
      </c>
      <c r="L212" s="588" t="s">
        <v>186</v>
      </c>
      <c r="M212" s="594" t="s">
        <v>169</v>
      </c>
      <c r="N212" s="597" t="str">
        <f>+IF(M212="","",IF(M212=$BO$15,$BN$15,IF(M212=$BO$16,$BN$16,IF(M212=$BO$17,$BN$17,IF(M212=$BO$18,$BN$18,IF(M212=$BO$19,$BN$19))))))</f>
        <v>Alta</v>
      </c>
      <c r="O212" s="600">
        <f>+IF(M212="","",IF(M212=$BO$15,$BR$15,IF(M212=$BO$16,$BR$16,IF(M212=$BO$17,$BR$17,IF(M212=$BO$18,$BR$18,IF(M212=$BO$19,$BR$19))))))</f>
        <v>0.8</v>
      </c>
      <c r="P212" s="594" t="s">
        <v>195</v>
      </c>
      <c r="Q212" s="603" t="str">
        <f>+IF(P212="","",IF(P212='[9]Mapa de Calor inherente'!$AF$6,'[9]Mapa de Calor inherente'!$AD$6,IF(P212='[9]Mapa de Calor inherente'!$AF$7,'[9]Mapa de Calor inherente'!$AD$7,IF(P212='[9]Mapa de Calor inherente'!$AF$8,'[9]Mapa de Calor inherente'!$AD$8,IF(P212='[9]Mapa de Calor inherente'!$AF$9,'[9]Mapa de Calor inherente'!$AD$9,IF(P212='[9]Mapa de Calor inherente'!$AF$10,'[9]Mapa de Calor inherente'!$AD$10,IF(P212='[9]Mapa de Calor inherente'!$AG$6,'[9]Mapa de Calor inherente'!$AD$6,IF(P212='[9]Mapa de Calor inherente'!$AG$7,'[9]Mapa de Calor inherente'!$AD$7,IF(P212='[9]Mapa de Calor inherente'!$AG$8,'[9]Mapa de Calor inherente'!$AD$8,IF(P212='[9]Mapa de Calor inherente'!$AG$9,'[9]Mapa de Calor inherente'!$AD$9,IF(P212='[9]Mapa de Calor inherente'!$AG$10,'[9]Mapa de Calor inherente'!$AD$10,IF(P212='[9]Mapa de Calor inherente'!$AD$8,'[9]Mapa de Calor inherente'!$AD$8,IF(P212='[9]Mapa de Calor inherente'!$AD$9,'[9]Mapa de Calor inherente'!$AD$9,IF(P212='[9]Mapa de Calor inherente'!$AD$10,'[9]Mapa de Calor inherente'!$AD$10))))))))))))))</f>
        <v>Leve</v>
      </c>
      <c r="R212" s="600">
        <f>+IF(P212="","",IF(P212='[9]Mapa de Calor inherente'!$AF$6,'[9]Mapa de Calor inherente'!$AE$6,IF(P212='[9]Mapa de Calor inherente'!$AF$7,'[9]Mapa de Calor inherente'!$AE$7,IF(P212='[9]Mapa de Calor inherente'!$AF$8,'[9]Mapa de Calor inherente'!$AE$8,IF(P212='[9]Mapa de Calor inherente'!$AF$9,'[9]Mapa de Calor inherente'!$AE$9,IF(P212='[9]Mapa de Calor inherente'!$AF$10,'[9]Mapa de Calor inherente'!$AE$10,IF(P212='[9]Mapa de Calor inherente'!$AG$6,'[9]Mapa de Calor inherente'!$AE$6,IF(P212='[9]Mapa de Calor inherente'!$AG$7,'[9]Mapa de Calor inherente'!$AE$7,IF(P212='[9]Mapa de Calor inherente'!$AG$8,'[9]Mapa de Calor inherente'!$AE$8,IF(P212='[9]Mapa de Calor inherente'!$AG$9,'[9]Mapa de Calor inherente'!$AE$9,IF(P212='[9]Mapa de Calor inherente'!$AG$10,'[9]Mapa de Calor inherente'!$AE$10,IF(P212='[9]Mapa de Calor inherente'!$AD$8,'[9]Mapa de Calor inherente'!$AE$8,IF(P212='[9]Mapa de Calor inherente'!$AD$9,'[9]Mapa de Calor inherente'!$AE$9,IF(P212='[9]Mapa de Calor inherente'!$AD$10,'[9]Mapa de Calor inherente'!$AE$10))))))))))))))</f>
        <v>0.2</v>
      </c>
      <c r="S212" s="282">
        <f>IF(O212="","",IF(R212="","",(O212*R212)))</f>
        <v>0.16000000000000003</v>
      </c>
      <c r="T212" s="603" t="str">
        <f>+IF(N212=$BB$17,IF(Q212=$BC$16,$BC$17,IF(Q212=$BD$16,$BD$17,IF(Q212=$BE$16,$BE$17,IF(Q212=$BF$16,$BF$17,IF(Q212=$BG$16,$BG$17))))),IF(N212=$BB$18,IF(Q212=$BC$16,$BC$18,IF(Q212=$BD$16,$BD$18,IF(Q212=$BE$16,$BE$18,IF(Q212=$BF$16,$BF$18,IF(Q212=$BG$16,$BG$18))))),IF(N212=$BB$19,IF(Q212=$BC$16,$BC$19,IF(Q212=$BD$16,$BD$19,IF(Q212=$BE$16,$BE$19,IF(Q212=$BF$16,$BF$19,IF(Q212=$BG$16,$BG$19))))),IF(N212=$BB$20,IF(Q212=$BC$16,$BC$20,IF(Q212=$BD$16,$BD$20,IF(Q212=$BE$16,$BE$20,IF(Q212=$BF$16,$BF$20,IF(Q212=$BG$16,$BG$20))))),IF(N212=$BB$21,IF(Q212=$BC$16,$BC$21,IF(Q212=$BD$16,$BD$21,IF(Q212=$BE$16,$BE$21,IF(Q212=$BF$16,$BF$21,IF(Q212=$BG$16,$BG$21))))),"")))))</f>
        <v>Moderado</v>
      </c>
      <c r="U212" s="139" t="s">
        <v>171</v>
      </c>
      <c r="V212" s="437" t="s">
        <v>399</v>
      </c>
      <c r="W212" s="295" t="s">
        <v>40</v>
      </c>
      <c r="X212" s="296">
        <f>IF(W212=[9]Listas!$B$46,[9]Listas!$C$46,IF(W212=[9]Listas!$B$47,[9]Listas!$C$47,IF(W212=[9]Listas!$B$48,[9]Listas!$C$48,"")))</f>
        <v>0.25</v>
      </c>
      <c r="Y212" s="297" t="str">
        <f>IF(OR(W212=[9]Listas!$F$53,W212=[9]Listas!$F$54),[9]Listas!$G$53,IF(W212=[9]Listas!$F$55,[9]Listas!$G$55,""))</f>
        <v>Probabilidad</v>
      </c>
      <c r="Z212" s="295" t="s">
        <v>41</v>
      </c>
      <c r="AA212" s="296">
        <f>+IF(Z212=[9]Listas!$E$46,[9]Listas!$F$46,IF(Z212=[9]Listas!$E$47,[9]Listas!$F$47,""))</f>
        <v>0.25</v>
      </c>
      <c r="AB212" s="140">
        <f>IFERROR(X212+AA212,"")</f>
        <v>0.5</v>
      </c>
      <c r="AC212" s="291" t="s">
        <v>57</v>
      </c>
      <c r="AD212" s="295" t="s">
        <v>58</v>
      </c>
      <c r="AE212" s="298" t="s">
        <v>59</v>
      </c>
      <c r="AF212" s="299" t="str">
        <f t="shared" si="28"/>
        <v>Baja</v>
      </c>
      <c r="AG212" s="141">
        <f>IF(Y212=[9]Listas!$G$53,O212-(O212*AB212),O212)</f>
        <v>0.4</v>
      </c>
      <c r="AH212" s="561">
        <f>+IF(AG221="","",AG221)</f>
        <v>0.16799999999999998</v>
      </c>
      <c r="AI212" s="299" t="str">
        <f>IF(AJ212="","",IF(AJ212&lt;=20%,"Leve",IF(AJ212&lt;=40%,"Menor",IF(AJ212&lt;=60%,"Moderado",IF(AJ212&lt;=80%,"Mayor","Catastrófico")))))</f>
        <v>Leve</v>
      </c>
      <c r="AJ212" s="141">
        <f>IF(Y212=[9]Listas!$G$55,R212-(R212*AB212),R212)</f>
        <v>0.2</v>
      </c>
      <c r="AK212" s="561">
        <f>+IF(AJ221="","",AJ221)</f>
        <v>0.15000000000000002</v>
      </c>
      <c r="AL212" s="564" t="str">
        <f>+IF(AH212=0,"",IF(AH212&lt;=$BA$21,$BB$21,IF(AH212&lt;=$BA$20,$BB$20,IF(AH212&lt;=$BA$19,$BB$19,IF(AH212&lt;=$BA$18,$BB$18,IF(AH212&lt;=$BA$17,$BB$17,""))))))</f>
        <v>Muy Baja</v>
      </c>
      <c r="AM212" s="564" t="str">
        <f>+IF(AK212=0,"",IF(AK212&lt;=$BC$15,$BC$16,IF(AK212&lt;=$BD$15,$BD$16,IF(AK212&lt;=$BE$15,$BE$16,IF(AK212&lt;=$BF$15,$BF$16,IF(AK212&lt;=$BG$15,$BG$16,""))))))</f>
        <v>Leve</v>
      </c>
      <c r="AN212" s="564" t="str">
        <f>IF(AL212=$BB$17,IF(AM212=$BC$16,$BC$17,IF(AM212=$BD$16,$BD$17,IF(AM212=$BE$16,$BE$17,IF(AM212=$BF$16,$BF$17,IF(AM212=$BG$16,$BG$17))))),IF(AL212=$BB$18,IF(AM212=$BC$16,$BC$18,IF(AM212=$BD$16,$BD$18,IF(AM212=$BE$16,$BE$18,IF(AM212=$BF$16,$BF$18,IF(AM212=$BG$16,$BG$18))))),IF(AL212=$BB$19,IF(AM212=$BC$16,$BC$19,IF(AM212=$BD$16,$BD$19,IF(AM212=$BE$16,$BE$19,IF(AM212=$BF$16,$BF$19,IF(AM212=$BG$16,$BG$19))))),IF(AL212=$BB$20,IF(AM212=$BC$16,$BC$20,IF(AM212=$BD$16,$BD$20,IF(AM212=$BE$16,$BE$20,IF(AM212=$BF$16,$BF$20,IF(AM212=$BG$16,$BG$20))))),IF(AL212=$BB$21,IF(AM212=$BC$16,$BC$21,IF(AM212=$BD$16,$BD$21,IF(AM212=$BE$16,$BE$21,IF(AM212=$BF$16,$BF$21,IF(AM212=$BG$16,$BG$21))))),"")))))</f>
        <v>Bajo</v>
      </c>
      <c r="AO212" s="567" t="str">
        <f>IF(AP212="","",IF(AP212=[9]Listas!$F$61,[9]Listas!$G$61,IF(AP212=[9]Listas!$F$63,[9]Listas!$G$63,IF(AP212=[9]Listas!$F$64,[9]Listas!$G$64))))</f>
        <v>No requiere Plan de Acción</v>
      </c>
      <c r="AP212" s="630" t="str">
        <f>IF(AN212="","",IF(OR(AN212=[9]Listas!$E$61,AN212=[9]Listas!$E$62),[9]Listas!$F$61,IF(AN212=[9]Listas!$E$63,[9]Listas!$F$63,IF(AN212=[9]Listas!$E$64,[9]Listas!$F$64))))</f>
        <v>Aceptar  el riesgo</v>
      </c>
      <c r="AQ212" s="300" t="s">
        <v>90</v>
      </c>
      <c r="AR212" s="210" t="s">
        <v>400</v>
      </c>
    </row>
    <row r="213" spans="2:70" ht="93.65" customHeight="1" thickTop="1" thickBot="1" x14ac:dyDescent="0.35">
      <c r="B213" s="870"/>
      <c r="C213" s="560"/>
      <c r="D213" s="761"/>
      <c r="E213" s="577"/>
      <c r="F213" s="678"/>
      <c r="G213" s="686"/>
      <c r="H213" s="689"/>
      <c r="I213" s="589"/>
      <c r="J213" s="589"/>
      <c r="K213" s="592"/>
      <c r="L213" s="589"/>
      <c r="M213" s="595"/>
      <c r="N213" s="598"/>
      <c r="O213" s="601"/>
      <c r="P213" s="595"/>
      <c r="Q213" s="604"/>
      <c r="R213" s="601"/>
      <c r="S213" s="283"/>
      <c r="T213" s="604"/>
      <c r="U213" s="142" t="s">
        <v>174</v>
      </c>
      <c r="V213" s="438" t="s">
        <v>401</v>
      </c>
      <c r="W213" s="301" t="s">
        <v>40</v>
      </c>
      <c r="X213" s="302">
        <f>IF(W213=[9]Listas!$B$46,[9]Listas!$C$46,IF(W213=[9]Listas!$B$47,[9]Listas!$C$47,IF(W213=[9]Listas!$B$48,[9]Listas!$C$48,"")))</f>
        <v>0.25</v>
      </c>
      <c r="Y213" s="303" t="str">
        <f>IF(OR(W213=[9]Listas!$F$53,W213=[9]Listas!$F$54),[9]Listas!$G$53,IF(W213=[9]Listas!$F$55,[9]Listas!$G$55,""))</f>
        <v>Probabilidad</v>
      </c>
      <c r="Z213" s="301" t="s">
        <v>43</v>
      </c>
      <c r="AA213" s="143">
        <f>+IF(Z213=[9]Listas!$E$46,[9]Listas!$F$46,IF(Z213=[9]Listas!$E$47,[9]Listas!$F$47,""))</f>
        <v>0.15</v>
      </c>
      <c r="AB213" s="144">
        <f>IFERROR(X213+AA213,"")</f>
        <v>0.4</v>
      </c>
      <c r="AC213" s="301" t="s">
        <v>57</v>
      </c>
      <c r="AD213" s="301" t="s">
        <v>58</v>
      </c>
      <c r="AE213" s="304" t="s">
        <v>59</v>
      </c>
      <c r="AF213" s="305" t="str">
        <f t="shared" si="28"/>
        <v>Baja</v>
      </c>
      <c r="AG213" s="145">
        <f>IF(Y213=[9]Listas!$G$53,AG212-(AG212*AB213),AG212)</f>
        <v>0.24</v>
      </c>
      <c r="AH213" s="562"/>
      <c r="AI213" s="305" t="str">
        <f t="shared" ref="AI213:AI276" si="30">IF(AJ213="","",IF(AJ213&lt;=20%,"Leve",IF(AJ213&lt;=40%,"Menor",IF(AJ213&lt;=60%,"Moderado",IF(AJ213&lt;=80%,"Mayor","Catastrófico")))))</f>
        <v>Leve</v>
      </c>
      <c r="AJ213" s="145">
        <f>IF(Y213=[9]Listas!$G$55,AJ212-(AJ212*AB213),AJ212)</f>
        <v>0.2</v>
      </c>
      <c r="AK213" s="562"/>
      <c r="AL213" s="565"/>
      <c r="AM213" s="565"/>
      <c r="AN213" s="565"/>
      <c r="AO213" s="568"/>
      <c r="AP213" s="631"/>
      <c r="AQ213" s="306"/>
      <c r="AR213" s="191"/>
      <c r="AZ213" s="633" t="s">
        <v>177</v>
      </c>
      <c r="BA213" s="634"/>
      <c r="BB213" s="634"/>
      <c r="BC213" s="634"/>
      <c r="BD213" s="634"/>
      <c r="BE213" s="634"/>
      <c r="BF213" s="634"/>
      <c r="BG213" s="635"/>
      <c r="BI213" s="636" t="s">
        <v>178</v>
      </c>
      <c r="BJ213" s="637"/>
      <c r="BK213" s="637"/>
      <c r="BL213" s="638"/>
      <c r="BN213" s="639" t="s">
        <v>179</v>
      </c>
      <c r="BO213" s="640"/>
      <c r="BP213" s="641"/>
      <c r="BQ213" s="641"/>
      <c r="BR213" s="642"/>
    </row>
    <row r="214" spans="2:70" ht="68.150000000000006" customHeight="1" thickTop="1" thickBot="1" x14ac:dyDescent="0.35">
      <c r="B214" s="870"/>
      <c r="C214" s="560"/>
      <c r="D214" s="761"/>
      <c r="E214" s="577"/>
      <c r="F214" s="678"/>
      <c r="G214" s="686"/>
      <c r="H214" s="689"/>
      <c r="I214" s="589"/>
      <c r="J214" s="589"/>
      <c r="K214" s="592"/>
      <c r="L214" s="589"/>
      <c r="M214" s="595"/>
      <c r="N214" s="598"/>
      <c r="O214" s="601"/>
      <c r="P214" s="595"/>
      <c r="Q214" s="604"/>
      <c r="R214" s="601"/>
      <c r="S214" s="283"/>
      <c r="T214" s="604"/>
      <c r="U214" s="142" t="s">
        <v>180</v>
      </c>
      <c r="V214" s="438" t="s">
        <v>402</v>
      </c>
      <c r="W214" s="301" t="s">
        <v>42</v>
      </c>
      <c r="X214" s="302">
        <f>IF(W214=[9]Listas!$B$46,[9]Listas!$C$46,IF(W214=[9]Listas!$B$47,[9]Listas!$C$47,IF(W214=[9]Listas!$B$48,[9]Listas!$C$48,"")))</f>
        <v>0.15</v>
      </c>
      <c r="Y214" s="303" t="str">
        <f>IF(OR(W214=[9]Listas!$F$53,W214=[9]Listas!$F$54),[9]Listas!$G$53,IF(W214=[9]Listas!$F$55,[9]Listas!$G$55,""))</f>
        <v>Probabilidad</v>
      </c>
      <c r="Z214" s="301" t="s">
        <v>43</v>
      </c>
      <c r="AA214" s="143">
        <f>+IF(Z214=[9]Listas!$E$46,[9]Listas!$F$46,IF(Z214=[9]Listas!$E$47,[9]Listas!$F$47,""))</f>
        <v>0.15</v>
      </c>
      <c r="AB214" s="144">
        <f>IFERROR(X214+AA214,"")</f>
        <v>0.3</v>
      </c>
      <c r="AC214" s="301" t="s">
        <v>57</v>
      </c>
      <c r="AD214" s="301" t="s">
        <v>58</v>
      </c>
      <c r="AE214" s="304" t="s">
        <v>59</v>
      </c>
      <c r="AF214" s="305" t="str">
        <f t="shared" si="28"/>
        <v>Muy baja</v>
      </c>
      <c r="AG214" s="145">
        <f>IF(Y214=[9]Listas!$G$53,AG213-(AG213*AB214),AG213)</f>
        <v>0.16799999999999998</v>
      </c>
      <c r="AH214" s="562"/>
      <c r="AI214" s="305" t="str">
        <f t="shared" si="30"/>
        <v>Leve</v>
      </c>
      <c r="AJ214" s="145">
        <f>IF(Y214=[9]Listas!$G$55,AJ213-(AJ213*AB214),AJ213)</f>
        <v>0.2</v>
      </c>
      <c r="AK214" s="562"/>
      <c r="AL214" s="565"/>
      <c r="AM214" s="565"/>
      <c r="AN214" s="565"/>
      <c r="AO214" s="568"/>
      <c r="AP214" s="631"/>
      <c r="AQ214" s="306"/>
      <c r="AR214" s="191"/>
      <c r="AZ214" s="146"/>
      <c r="BA214" s="147"/>
      <c r="BB214" s="148"/>
      <c r="BC214" s="643" t="s">
        <v>70</v>
      </c>
      <c r="BD214" s="643"/>
      <c r="BE214" s="643"/>
      <c r="BF214" s="643"/>
      <c r="BG214" s="643"/>
      <c r="BI214" s="149" t="s">
        <v>183</v>
      </c>
      <c r="BJ214" s="150" t="s">
        <v>184</v>
      </c>
      <c r="BK214" s="150" t="s">
        <v>185</v>
      </c>
      <c r="BL214" s="151" t="s">
        <v>186</v>
      </c>
      <c r="BN214" s="149" t="s">
        <v>183</v>
      </c>
      <c r="BO214" s="150" t="s">
        <v>187</v>
      </c>
      <c r="BP214" s="152" t="s">
        <v>188</v>
      </c>
      <c r="BQ214" s="152" t="s">
        <v>189</v>
      </c>
      <c r="BR214" s="151" t="s">
        <v>60</v>
      </c>
    </row>
    <row r="215" spans="2:70" ht="142.5" customHeight="1" thickTop="1" thickBot="1" x14ac:dyDescent="0.4">
      <c r="B215" s="870"/>
      <c r="C215" s="560"/>
      <c r="D215" s="761"/>
      <c r="E215" s="577"/>
      <c r="F215" s="678"/>
      <c r="G215" s="686"/>
      <c r="H215" s="689"/>
      <c r="I215" s="589"/>
      <c r="J215" s="589"/>
      <c r="K215" s="592"/>
      <c r="L215" s="589"/>
      <c r="M215" s="595"/>
      <c r="N215" s="598"/>
      <c r="O215" s="601"/>
      <c r="P215" s="595"/>
      <c r="Q215" s="604"/>
      <c r="R215" s="601"/>
      <c r="S215" s="283"/>
      <c r="T215" s="604"/>
      <c r="U215" s="142" t="s">
        <v>190</v>
      </c>
      <c r="V215" s="438" t="s">
        <v>403</v>
      </c>
      <c r="W215" s="301" t="s">
        <v>44</v>
      </c>
      <c r="X215" s="302">
        <f>IF(W215=[9]Listas!$B$46,[9]Listas!$C$46,IF(W215=[9]Listas!$B$47,[9]Listas!$C$47,IF(W215=[9]Listas!$B$48,[9]Listas!$C$48,"")))</f>
        <v>0.1</v>
      </c>
      <c r="Y215" s="303" t="str">
        <f>IF(OR(W215=[9]Listas!$F$53,W215=[9]Listas!$F$54),[9]Listas!$G$53,IF(W215=[9]Listas!$F$55,[9]Listas!$G$55,""))</f>
        <v>Impacto</v>
      </c>
      <c r="Z215" s="301" t="s">
        <v>43</v>
      </c>
      <c r="AA215" s="143">
        <f>+IF(Z215=[9]Listas!$E$46,[9]Listas!$F$46,IF(Z215=[9]Listas!$E$47,[9]Listas!$F$47,""))</f>
        <v>0.15</v>
      </c>
      <c r="AB215" s="144">
        <f t="shared" ref="AB215:AB221" si="31">IFERROR(X215+AA215,"")</f>
        <v>0.25</v>
      </c>
      <c r="AC215" s="301" t="s">
        <v>57</v>
      </c>
      <c r="AD215" s="301" t="s">
        <v>58</v>
      </c>
      <c r="AE215" s="304" t="s">
        <v>59</v>
      </c>
      <c r="AF215" s="305" t="str">
        <f t="shared" si="28"/>
        <v>Muy baja</v>
      </c>
      <c r="AG215" s="145">
        <f>IF(Y215=[9]Listas!$G$53,AG214-(AG214*AB215),AG214)</f>
        <v>0.16799999999999998</v>
      </c>
      <c r="AH215" s="562"/>
      <c r="AI215" s="305" t="str">
        <f t="shared" si="30"/>
        <v>Leve</v>
      </c>
      <c r="AJ215" s="145">
        <f>IF(Y215=[9]Listas!$G$55,AJ214-(AJ214*AB215),AJ214)</f>
        <v>0.15000000000000002</v>
      </c>
      <c r="AK215" s="562"/>
      <c r="AL215" s="565"/>
      <c r="AM215" s="565"/>
      <c r="AN215" s="565"/>
      <c r="AO215" s="568"/>
      <c r="AP215" s="631"/>
      <c r="AQ215" s="306"/>
      <c r="AR215" s="117"/>
      <c r="AZ215" s="153"/>
      <c r="BA215" s="154"/>
      <c r="BB215" s="155" t="s">
        <v>192</v>
      </c>
      <c r="BC215" s="156">
        <v>0.2</v>
      </c>
      <c r="BD215" s="156">
        <v>0.4</v>
      </c>
      <c r="BE215" s="156">
        <v>0.6</v>
      </c>
      <c r="BF215" s="156">
        <v>0.8</v>
      </c>
      <c r="BG215" s="156">
        <v>1</v>
      </c>
      <c r="BI215" s="157" t="s">
        <v>193</v>
      </c>
      <c r="BJ215" s="158">
        <v>0.2</v>
      </c>
      <c r="BK215" s="159" t="s">
        <v>194</v>
      </c>
      <c r="BL215" s="160" t="s">
        <v>195</v>
      </c>
      <c r="BN215" s="157" t="s">
        <v>196</v>
      </c>
      <c r="BO215" s="159" t="s">
        <v>197</v>
      </c>
      <c r="BP215" s="161">
        <v>0</v>
      </c>
      <c r="BQ215" s="161">
        <v>2</v>
      </c>
      <c r="BR215" s="162">
        <v>0.2</v>
      </c>
    </row>
    <row r="216" spans="2:70" ht="30.75" hidden="1" customHeight="1" thickBot="1" x14ac:dyDescent="0.4">
      <c r="B216" s="870"/>
      <c r="C216" s="560"/>
      <c r="D216" s="761"/>
      <c r="E216" s="577"/>
      <c r="F216" s="678"/>
      <c r="G216" s="686"/>
      <c r="H216" s="689"/>
      <c r="I216" s="589"/>
      <c r="J216" s="589"/>
      <c r="K216" s="592"/>
      <c r="L216" s="589"/>
      <c r="M216" s="595"/>
      <c r="N216" s="598"/>
      <c r="O216" s="601"/>
      <c r="P216" s="595"/>
      <c r="Q216" s="604"/>
      <c r="R216" s="601"/>
      <c r="S216" s="283"/>
      <c r="T216" s="604"/>
      <c r="U216" s="142" t="s">
        <v>198</v>
      </c>
      <c r="V216" s="415"/>
      <c r="W216" s="301"/>
      <c r="X216" s="302" t="str">
        <f>IF(W216=[9]Listas!$B$46,[9]Listas!$C$46,IF(W216=[9]Listas!$B$47,[9]Listas!$C$47,IF(W216=[9]Listas!$B$48,[9]Listas!$C$48,"")))</f>
        <v/>
      </c>
      <c r="Y216" s="303" t="str">
        <f>IF(OR(W216=[9]Listas!$F$53,W216=[9]Listas!$F$54),[9]Listas!$G$53,IF(W216=[9]Listas!$F$55,[9]Listas!$G$55,""))</f>
        <v/>
      </c>
      <c r="Z216" s="301"/>
      <c r="AA216" s="143" t="str">
        <f>+IF(Z216=[9]Listas!$E$46,[9]Listas!$F$46,IF(Z216=[9]Listas!$E$47,[9]Listas!$F$47,""))</f>
        <v/>
      </c>
      <c r="AB216" s="144" t="str">
        <f t="shared" si="31"/>
        <v/>
      </c>
      <c r="AC216" s="301"/>
      <c r="AD216" s="301"/>
      <c r="AE216" s="304"/>
      <c r="AF216" s="305" t="str">
        <f t="shared" si="28"/>
        <v>Muy baja</v>
      </c>
      <c r="AG216" s="145">
        <f>IF(Y216=[9]Listas!$G$53,AG215-(AG215*AB216),AG215)</f>
        <v>0.16799999999999998</v>
      </c>
      <c r="AH216" s="562"/>
      <c r="AI216" s="305" t="str">
        <f t="shared" si="30"/>
        <v>Leve</v>
      </c>
      <c r="AJ216" s="145">
        <f>IF(Y216=[9]Listas!$G$55,AJ215-(AJ215*AB216),AJ215)</f>
        <v>0.15000000000000002</v>
      </c>
      <c r="AK216" s="562"/>
      <c r="AL216" s="565"/>
      <c r="AM216" s="565"/>
      <c r="AN216" s="565"/>
      <c r="AO216" s="568"/>
      <c r="AP216" s="631"/>
      <c r="AQ216" s="306"/>
      <c r="AR216" s="117"/>
      <c r="AZ216" s="153"/>
      <c r="BA216" s="154"/>
      <c r="BB216" s="163" t="s">
        <v>200</v>
      </c>
      <c r="BC216" s="164" t="s">
        <v>193</v>
      </c>
      <c r="BD216" s="164" t="s">
        <v>201</v>
      </c>
      <c r="BE216" s="164" t="s">
        <v>83</v>
      </c>
      <c r="BF216" s="164" t="s">
        <v>202</v>
      </c>
      <c r="BG216" s="164" t="s">
        <v>203</v>
      </c>
      <c r="BI216" s="165" t="s">
        <v>201</v>
      </c>
      <c r="BJ216" s="158">
        <v>0.4</v>
      </c>
      <c r="BK216" s="166" t="s">
        <v>204</v>
      </c>
      <c r="BL216" s="167" t="s">
        <v>205</v>
      </c>
      <c r="BN216" s="165" t="s">
        <v>206</v>
      </c>
      <c r="BO216" s="166" t="s">
        <v>207</v>
      </c>
      <c r="BP216" s="161">
        <v>3</v>
      </c>
      <c r="BQ216" s="161">
        <v>24</v>
      </c>
      <c r="BR216" s="162">
        <v>0.4</v>
      </c>
    </row>
    <row r="217" spans="2:70" ht="30.75" hidden="1" customHeight="1" thickBot="1" x14ac:dyDescent="0.4">
      <c r="B217" s="870"/>
      <c r="C217" s="560"/>
      <c r="D217" s="761"/>
      <c r="E217" s="577"/>
      <c r="F217" s="678"/>
      <c r="G217" s="686"/>
      <c r="H217" s="689"/>
      <c r="I217" s="589"/>
      <c r="J217" s="589"/>
      <c r="K217" s="592"/>
      <c r="L217" s="589"/>
      <c r="M217" s="595"/>
      <c r="N217" s="598"/>
      <c r="O217" s="601"/>
      <c r="P217" s="595"/>
      <c r="Q217" s="604"/>
      <c r="R217" s="601"/>
      <c r="S217" s="283"/>
      <c r="T217" s="604"/>
      <c r="U217" s="142" t="s">
        <v>208</v>
      </c>
      <c r="V217" s="415"/>
      <c r="W217" s="301"/>
      <c r="X217" s="302" t="str">
        <f>IF(W217=[9]Listas!$B$46,[9]Listas!$C$46,IF(W217=[9]Listas!$B$47,[9]Listas!$C$47,IF(W217=[9]Listas!$B$48,[9]Listas!$C$48,"")))</f>
        <v/>
      </c>
      <c r="Y217" s="303" t="str">
        <f>IF(OR(W217=[9]Listas!$F$53,W217=[9]Listas!$F$54),[9]Listas!$G$53,IF(W217=[9]Listas!$F$55,[9]Listas!$G$55,""))</f>
        <v/>
      </c>
      <c r="Z217" s="301"/>
      <c r="AA217" s="143" t="str">
        <f>+IF(Z217=[9]Listas!$E$46,[9]Listas!$F$46,IF(Z217=[9]Listas!$E$47,[9]Listas!$F$47,""))</f>
        <v/>
      </c>
      <c r="AB217" s="144" t="str">
        <f t="shared" si="31"/>
        <v/>
      </c>
      <c r="AC217" s="301"/>
      <c r="AD217" s="301"/>
      <c r="AE217" s="304"/>
      <c r="AF217" s="305" t="str">
        <f t="shared" si="28"/>
        <v>Muy baja</v>
      </c>
      <c r="AG217" s="145">
        <f>IF(Y217=[9]Listas!$G$53,AG216-(AG216*AB217),AG216)</f>
        <v>0.16799999999999998</v>
      </c>
      <c r="AH217" s="562"/>
      <c r="AI217" s="305" t="str">
        <f t="shared" si="30"/>
        <v>Leve</v>
      </c>
      <c r="AJ217" s="145">
        <f>IF(Y217=[9]Listas!$G$55,AJ216-(AJ216*AB217),AJ216)</f>
        <v>0.15000000000000002</v>
      </c>
      <c r="AK217" s="562"/>
      <c r="AL217" s="565"/>
      <c r="AM217" s="565"/>
      <c r="AN217" s="565"/>
      <c r="AO217" s="568"/>
      <c r="AP217" s="631"/>
      <c r="AQ217" s="306"/>
      <c r="AR217" s="117"/>
      <c r="AZ217" s="644" t="s">
        <v>60</v>
      </c>
      <c r="BA217" s="168">
        <v>1</v>
      </c>
      <c r="BB217" s="164" t="s">
        <v>210</v>
      </c>
      <c r="BC217" s="169" t="s">
        <v>81</v>
      </c>
      <c r="BD217" s="169" t="s">
        <v>81</v>
      </c>
      <c r="BE217" s="169" t="s">
        <v>81</v>
      </c>
      <c r="BF217" s="169" t="s">
        <v>81</v>
      </c>
      <c r="BG217" s="170" t="s">
        <v>77</v>
      </c>
      <c r="BI217" s="171" t="s">
        <v>83</v>
      </c>
      <c r="BJ217" s="158">
        <v>0.6</v>
      </c>
      <c r="BK217" s="166" t="s">
        <v>211</v>
      </c>
      <c r="BL217" s="167" t="s">
        <v>212</v>
      </c>
      <c r="BN217" s="171" t="s">
        <v>213</v>
      </c>
      <c r="BO217" s="166" t="s">
        <v>214</v>
      </c>
      <c r="BP217" s="161">
        <v>25</v>
      </c>
      <c r="BQ217" s="161">
        <v>500</v>
      </c>
      <c r="BR217" s="162">
        <v>0.6</v>
      </c>
    </row>
    <row r="218" spans="2:70" ht="30.75" hidden="1" customHeight="1" thickBot="1" x14ac:dyDescent="0.4">
      <c r="B218" s="870"/>
      <c r="C218" s="560"/>
      <c r="D218" s="761"/>
      <c r="E218" s="577"/>
      <c r="F218" s="678"/>
      <c r="G218" s="686"/>
      <c r="H218" s="689"/>
      <c r="I218" s="589"/>
      <c r="J218" s="589"/>
      <c r="K218" s="592"/>
      <c r="L218" s="589"/>
      <c r="M218" s="595"/>
      <c r="N218" s="598"/>
      <c r="O218" s="601"/>
      <c r="P218" s="595"/>
      <c r="Q218" s="604"/>
      <c r="R218" s="601"/>
      <c r="S218" s="283"/>
      <c r="T218" s="604"/>
      <c r="U218" s="142" t="s">
        <v>215</v>
      </c>
      <c r="V218" s="418"/>
      <c r="W218" s="301"/>
      <c r="X218" s="302" t="str">
        <f>IF(W218=[9]Listas!$B$46,[9]Listas!$C$46,IF(W218=[9]Listas!$B$47,[9]Listas!$C$47,IF(W218=[9]Listas!$B$48,[9]Listas!$C$48,"")))</f>
        <v/>
      </c>
      <c r="Y218" s="303" t="str">
        <f>IF(OR(W218=[9]Listas!$F$53,W218=[9]Listas!$F$54),[9]Listas!$G$53,IF(W218=[9]Listas!$F$55,[9]Listas!$G$55,""))</f>
        <v/>
      </c>
      <c r="Z218" s="301"/>
      <c r="AA218" s="143" t="str">
        <f>+IF(Z218=[9]Listas!$E$46,[9]Listas!$F$46,IF(Z218=[9]Listas!$E$47,[9]Listas!$F$47,""))</f>
        <v/>
      </c>
      <c r="AB218" s="144" t="str">
        <f t="shared" si="31"/>
        <v/>
      </c>
      <c r="AC218" s="301"/>
      <c r="AD218" s="301"/>
      <c r="AE218" s="304"/>
      <c r="AF218" s="305" t="str">
        <f t="shared" si="28"/>
        <v>Muy baja</v>
      </c>
      <c r="AG218" s="145">
        <f>IF(Y218=[9]Listas!$G$53,AG217-(AG217*AB218),AG217)</f>
        <v>0.16799999999999998</v>
      </c>
      <c r="AH218" s="562"/>
      <c r="AI218" s="305" t="str">
        <f t="shared" si="30"/>
        <v>Leve</v>
      </c>
      <c r="AJ218" s="145">
        <f>IF(Y218=[9]Listas!$G$55,AJ217-(AJ217*AB218),AJ217)</f>
        <v>0.15000000000000002</v>
      </c>
      <c r="AK218" s="562"/>
      <c r="AL218" s="565"/>
      <c r="AM218" s="565"/>
      <c r="AN218" s="565"/>
      <c r="AO218" s="568"/>
      <c r="AP218" s="631"/>
      <c r="AQ218" s="306"/>
      <c r="AR218" s="117"/>
      <c r="AZ218" s="644"/>
      <c r="BA218" s="168">
        <v>0.8</v>
      </c>
      <c r="BB218" s="164" t="s">
        <v>217</v>
      </c>
      <c r="BC218" s="172" t="s">
        <v>83</v>
      </c>
      <c r="BD218" s="172" t="s">
        <v>83</v>
      </c>
      <c r="BE218" s="169" t="s">
        <v>81</v>
      </c>
      <c r="BF218" s="169" t="s">
        <v>81</v>
      </c>
      <c r="BG218" s="170" t="s">
        <v>77</v>
      </c>
      <c r="BI218" s="173" t="s">
        <v>202</v>
      </c>
      <c r="BJ218" s="158">
        <v>0.8</v>
      </c>
      <c r="BK218" s="166" t="s">
        <v>218</v>
      </c>
      <c r="BL218" s="167" t="s">
        <v>219</v>
      </c>
      <c r="BN218" s="173" t="s">
        <v>217</v>
      </c>
      <c r="BO218" s="166" t="s">
        <v>169</v>
      </c>
      <c r="BP218" s="161">
        <v>5001</v>
      </c>
      <c r="BQ218" s="161">
        <v>5000</v>
      </c>
      <c r="BR218" s="162">
        <v>0.8</v>
      </c>
    </row>
    <row r="219" spans="2:70" ht="15" hidden="1" customHeight="1" thickTop="1" x14ac:dyDescent="0.35">
      <c r="B219" s="870"/>
      <c r="C219" s="560"/>
      <c r="D219" s="761"/>
      <c r="E219" s="577"/>
      <c r="F219" s="678"/>
      <c r="G219" s="686"/>
      <c r="H219" s="689"/>
      <c r="I219" s="589"/>
      <c r="J219" s="589"/>
      <c r="K219" s="592"/>
      <c r="L219" s="589"/>
      <c r="M219" s="595"/>
      <c r="N219" s="598"/>
      <c r="O219" s="601"/>
      <c r="P219" s="595"/>
      <c r="Q219" s="604"/>
      <c r="R219" s="601"/>
      <c r="S219" s="283"/>
      <c r="T219" s="604"/>
      <c r="U219" s="142" t="s">
        <v>220</v>
      </c>
      <c r="V219" s="419"/>
      <c r="W219" s="301"/>
      <c r="X219" s="302" t="str">
        <f>IF(W219=[9]Listas!$B$46,[9]Listas!$C$46,IF(W219=[9]Listas!$B$47,[9]Listas!$C$47,IF(W219=[9]Listas!$B$48,[9]Listas!$C$48,"")))</f>
        <v/>
      </c>
      <c r="Y219" s="303" t="str">
        <f>IF(OR(W219=[9]Listas!$F$53,W219=[9]Listas!$F$54),[9]Listas!$G$53,IF(W219=[9]Listas!$F$55,[9]Listas!$G$55,""))</f>
        <v/>
      </c>
      <c r="Z219" s="301"/>
      <c r="AA219" s="143" t="str">
        <f>+IF(Z219=[9]Listas!$E$46,[9]Listas!$F$46,IF(Z219=[9]Listas!$E$47,[9]Listas!$F$47,""))</f>
        <v/>
      </c>
      <c r="AB219" s="144" t="str">
        <f t="shared" si="31"/>
        <v/>
      </c>
      <c r="AC219" s="301"/>
      <c r="AD219" s="301"/>
      <c r="AE219" s="304"/>
      <c r="AF219" s="305" t="str">
        <f t="shared" si="28"/>
        <v>Muy baja</v>
      </c>
      <c r="AG219" s="145">
        <f>IF(Y219=[9]Listas!$G$53,AG218-(AG218*AB219),AG218)</f>
        <v>0.16799999999999998</v>
      </c>
      <c r="AH219" s="562"/>
      <c r="AI219" s="305" t="str">
        <f t="shared" si="30"/>
        <v>Leve</v>
      </c>
      <c r="AJ219" s="145">
        <f>IF(Y219=[9]Listas!$G$55,AJ218-(AJ218*AB219),AJ218)</f>
        <v>0.15000000000000002</v>
      </c>
      <c r="AK219" s="562"/>
      <c r="AL219" s="565"/>
      <c r="AM219" s="565"/>
      <c r="AN219" s="565"/>
      <c r="AO219" s="568"/>
      <c r="AP219" s="631"/>
      <c r="AQ219" s="306"/>
      <c r="AR219" s="117"/>
      <c r="AZ219" s="644"/>
      <c r="BA219" s="168">
        <v>0.6</v>
      </c>
      <c r="BB219" s="164" t="s">
        <v>213</v>
      </c>
      <c r="BC219" s="172" t="s">
        <v>83</v>
      </c>
      <c r="BD219" s="172" t="s">
        <v>83</v>
      </c>
      <c r="BE219" s="172" t="s">
        <v>83</v>
      </c>
      <c r="BF219" s="169" t="s">
        <v>81</v>
      </c>
      <c r="BG219" s="170" t="s">
        <v>77</v>
      </c>
      <c r="BI219" s="175" t="s">
        <v>203</v>
      </c>
      <c r="BJ219" s="158">
        <v>1</v>
      </c>
      <c r="BK219" s="166" t="s">
        <v>221</v>
      </c>
      <c r="BL219" s="167" t="s">
        <v>170</v>
      </c>
      <c r="BN219" s="175" t="s">
        <v>210</v>
      </c>
      <c r="BO219" s="166" t="s">
        <v>222</v>
      </c>
      <c r="BP219" s="161">
        <v>5001</v>
      </c>
      <c r="BQ219" s="161"/>
      <c r="BR219" s="162">
        <v>1</v>
      </c>
    </row>
    <row r="220" spans="2:70" ht="15" hidden="1" customHeight="1" thickTop="1" x14ac:dyDescent="0.35">
      <c r="B220" s="870"/>
      <c r="C220" s="560"/>
      <c r="D220" s="761"/>
      <c r="E220" s="577"/>
      <c r="F220" s="678"/>
      <c r="G220" s="686"/>
      <c r="H220" s="689"/>
      <c r="I220" s="589"/>
      <c r="J220" s="589"/>
      <c r="K220" s="592"/>
      <c r="L220" s="589"/>
      <c r="M220" s="595"/>
      <c r="N220" s="598"/>
      <c r="O220" s="601"/>
      <c r="P220" s="595"/>
      <c r="Q220" s="604"/>
      <c r="R220" s="601"/>
      <c r="S220" s="283"/>
      <c r="T220" s="604"/>
      <c r="U220" s="142" t="s">
        <v>223</v>
      </c>
      <c r="V220" s="419"/>
      <c r="W220" s="301"/>
      <c r="X220" s="302" t="str">
        <f>IF(W220=[9]Listas!$B$46,[9]Listas!$C$46,IF(W220=[9]Listas!$B$47,[9]Listas!$C$47,IF(W220=[9]Listas!$B$48,[9]Listas!$C$48,"")))</f>
        <v/>
      </c>
      <c r="Y220" s="303" t="str">
        <f>IF(OR(W220=[9]Listas!$F$53,W220=[9]Listas!$F$54),[9]Listas!$G$53,IF(W220=[9]Listas!$F$55,[9]Listas!$G$55,""))</f>
        <v/>
      </c>
      <c r="Z220" s="301"/>
      <c r="AA220" s="143" t="str">
        <f>+IF(Z220=[9]Listas!$E$46,[9]Listas!$F$46,IF(Z220=[9]Listas!$E$47,[9]Listas!$F$47,""))</f>
        <v/>
      </c>
      <c r="AB220" s="144" t="str">
        <f t="shared" si="31"/>
        <v/>
      </c>
      <c r="AC220" s="301"/>
      <c r="AD220" s="301"/>
      <c r="AE220" s="304"/>
      <c r="AF220" s="305" t="str">
        <f t="shared" si="28"/>
        <v>Muy baja</v>
      </c>
      <c r="AG220" s="145">
        <f>IF(Y220=[9]Listas!$G$53,AG219-(AG219*AB220),AG219)</f>
        <v>0.16799999999999998</v>
      </c>
      <c r="AH220" s="562"/>
      <c r="AI220" s="305" t="str">
        <f t="shared" si="30"/>
        <v>Leve</v>
      </c>
      <c r="AJ220" s="145">
        <f>IF(Y220=[9]Listas!$G$55,AJ219-(AJ219*AB220),AJ219)</f>
        <v>0.15000000000000002</v>
      </c>
      <c r="AK220" s="562"/>
      <c r="AL220" s="565"/>
      <c r="AM220" s="565"/>
      <c r="AN220" s="565"/>
      <c r="AO220" s="568"/>
      <c r="AP220" s="631"/>
      <c r="AQ220" s="306"/>
      <c r="AR220" s="117"/>
      <c r="AZ220" s="644"/>
      <c r="BA220" s="168">
        <v>0.4</v>
      </c>
      <c r="BB220" s="164" t="s">
        <v>206</v>
      </c>
      <c r="BC220" s="176" t="s">
        <v>86</v>
      </c>
      <c r="BD220" s="172" t="s">
        <v>83</v>
      </c>
      <c r="BE220" s="172" t="s">
        <v>83</v>
      </c>
      <c r="BF220" s="169" t="s">
        <v>81</v>
      </c>
      <c r="BG220" s="170" t="s">
        <v>77</v>
      </c>
    </row>
    <row r="221" spans="2:70" ht="15.75" hidden="1" customHeight="1" thickTop="1" x14ac:dyDescent="0.35">
      <c r="B221" s="870"/>
      <c r="C221" s="560"/>
      <c r="D221" s="762"/>
      <c r="E221" s="578"/>
      <c r="F221" s="679"/>
      <c r="G221" s="687"/>
      <c r="H221" s="690"/>
      <c r="I221" s="590"/>
      <c r="J221" s="590"/>
      <c r="K221" s="593"/>
      <c r="L221" s="590"/>
      <c r="M221" s="596"/>
      <c r="N221" s="599"/>
      <c r="O221" s="602"/>
      <c r="P221" s="596"/>
      <c r="Q221" s="605"/>
      <c r="R221" s="602"/>
      <c r="S221" s="284"/>
      <c r="T221" s="605"/>
      <c r="U221" s="202" t="s">
        <v>224</v>
      </c>
      <c r="V221" s="420"/>
      <c r="W221" s="307"/>
      <c r="X221" s="308" t="str">
        <f>IF(W221=[9]Listas!$B$46,[9]Listas!$C$46,IF(W221=[9]Listas!$B$47,[9]Listas!$C$47,IF(W221=[9]Listas!$B$48,[9]Listas!$C$48,"")))</f>
        <v/>
      </c>
      <c r="Y221" s="309" t="str">
        <f>IF(OR(W221=[9]Listas!$F$53,W221=[9]Listas!$F$54),[9]Listas!$G$53,IF(W221=[9]Listas!$F$55,[9]Listas!$G$55,""))</f>
        <v/>
      </c>
      <c r="Z221" s="307"/>
      <c r="AA221" s="177" t="str">
        <f>+IF(Z221=[9]Listas!$E$46,[9]Listas!$F$46,IF(Z221=[9]Listas!$E$47,[9]Listas!$F$47,""))</f>
        <v/>
      </c>
      <c r="AB221" s="178" t="str">
        <f t="shared" si="31"/>
        <v/>
      </c>
      <c r="AC221" s="307"/>
      <c r="AD221" s="307"/>
      <c r="AE221" s="310"/>
      <c r="AF221" s="311" t="str">
        <f t="shared" si="28"/>
        <v>Muy baja</v>
      </c>
      <c r="AG221" s="179">
        <f>IF(Y221=[9]Listas!$G$53,AG220-(AG220*AB221),AG220)</f>
        <v>0.16799999999999998</v>
      </c>
      <c r="AH221" s="563"/>
      <c r="AI221" s="311" t="str">
        <f t="shared" si="30"/>
        <v>Leve</v>
      </c>
      <c r="AJ221" s="179">
        <f>IF(Y221=[9]Listas!$G$55,AJ220-(AJ220*AB221),AJ220)</f>
        <v>0.15000000000000002</v>
      </c>
      <c r="AK221" s="563"/>
      <c r="AL221" s="566"/>
      <c r="AM221" s="566"/>
      <c r="AN221" s="566"/>
      <c r="AO221" s="569"/>
      <c r="AP221" s="632"/>
      <c r="AQ221" s="312"/>
      <c r="AR221" s="180"/>
      <c r="AZ221" s="644"/>
      <c r="BA221" s="168">
        <v>0.2</v>
      </c>
      <c r="BB221" s="164" t="s">
        <v>196</v>
      </c>
      <c r="BC221" s="176" t="s">
        <v>86</v>
      </c>
      <c r="BD221" s="176" t="s">
        <v>86</v>
      </c>
      <c r="BE221" s="172" t="s">
        <v>83</v>
      </c>
      <c r="BF221" s="169" t="s">
        <v>81</v>
      </c>
      <c r="BG221" s="170" t="s">
        <v>77</v>
      </c>
    </row>
    <row r="222" spans="2:70" ht="89.25" customHeight="1" thickTop="1" thickBot="1" x14ac:dyDescent="0.4">
      <c r="B222" s="870"/>
      <c r="C222" s="560"/>
      <c r="D222" s="744" t="s">
        <v>404</v>
      </c>
      <c r="E222" s="576" t="s">
        <v>5</v>
      </c>
      <c r="F222" s="624" t="s">
        <v>405</v>
      </c>
      <c r="G222" s="627" t="s">
        <v>406</v>
      </c>
      <c r="H222" s="627" t="s">
        <v>407</v>
      </c>
      <c r="I222" s="588" t="s">
        <v>28</v>
      </c>
      <c r="J222" s="588" t="s">
        <v>22</v>
      </c>
      <c r="K222" s="591" t="s">
        <v>408</v>
      </c>
      <c r="L222" s="588" t="s">
        <v>186</v>
      </c>
      <c r="M222" s="594" t="s">
        <v>222</v>
      </c>
      <c r="N222" s="597" t="str">
        <f>+IF(M222="","",IF(M222=$BO$15,$BN$15,IF(M222=$BO$16,$BN$16,IF(M222=$BO$17,$BN$17,IF(M222=$BO$18,$BN$18,IF(M222=$BO$19,$BN$19))))))</f>
        <v>Muy Alta</v>
      </c>
      <c r="O222" s="600">
        <f>+IF(M222="","",IF(M222=$BO$15,$BR$15,IF(M222=$BO$16,$BR$16,IF(M222=$BO$17,$BR$17,IF(M222=$BO$18,$BR$18,IF(M222=$BO$19,$BR$19))))))</f>
        <v>1</v>
      </c>
      <c r="P222" s="594" t="s">
        <v>195</v>
      </c>
      <c r="Q222" s="603" t="str">
        <f>+IF(P222="","",IF(P222='[9]Mapa de Calor inherente'!$AF$6,'[9]Mapa de Calor inherente'!$AD$6,IF(P222='[9]Mapa de Calor inherente'!$AF$7,'[9]Mapa de Calor inherente'!$AD$7,IF(P222='[9]Mapa de Calor inherente'!$AF$8,'[9]Mapa de Calor inherente'!$AD$8,IF(P222='[9]Mapa de Calor inherente'!$AF$9,'[9]Mapa de Calor inherente'!$AD$9,IF(P222='[9]Mapa de Calor inherente'!$AF$10,'[9]Mapa de Calor inherente'!$AD$10,IF(P222='[9]Mapa de Calor inherente'!$AG$6,'[9]Mapa de Calor inherente'!$AD$6,IF(P222='[9]Mapa de Calor inherente'!$AG$7,'[9]Mapa de Calor inherente'!$AD$7,IF(P222='[9]Mapa de Calor inherente'!$AG$8,'[9]Mapa de Calor inherente'!$AD$8,IF(P222='[9]Mapa de Calor inherente'!$AG$9,'[9]Mapa de Calor inherente'!$AD$9,IF(P222='[9]Mapa de Calor inherente'!$AG$10,'[9]Mapa de Calor inherente'!$AD$10,IF(P222='[9]Mapa de Calor inherente'!$AD$8,'[9]Mapa de Calor inherente'!$AD$8,IF(P222='[9]Mapa de Calor inherente'!$AD$9,'[9]Mapa de Calor inherente'!$AD$9,IF(P222='[9]Mapa de Calor inherente'!$AD$10,'[9]Mapa de Calor inherente'!$AD$10))))))))))))))</f>
        <v>Leve</v>
      </c>
      <c r="R222" s="600">
        <f>+IF(P222="","",IF(P222='[9]Mapa de Calor inherente'!$AF$6,'[9]Mapa de Calor inherente'!$AE$6,IF(P222='[9]Mapa de Calor inherente'!$AF$7,'[9]Mapa de Calor inherente'!$AE$7,IF(P222='[9]Mapa de Calor inherente'!$AF$8,'[9]Mapa de Calor inherente'!$AE$8,IF(P222='[9]Mapa de Calor inherente'!$AF$9,'[9]Mapa de Calor inherente'!$AE$9,IF(P222='[9]Mapa de Calor inherente'!$AF$10,'[9]Mapa de Calor inherente'!$AE$10,IF(P222='[9]Mapa de Calor inherente'!$AG$6,'[9]Mapa de Calor inherente'!$AE$6,IF(P222='[9]Mapa de Calor inherente'!$AG$7,'[9]Mapa de Calor inherente'!$AE$7,IF(P222='[9]Mapa de Calor inherente'!$AG$8,'[9]Mapa de Calor inherente'!$AE$8,IF(P222='[9]Mapa de Calor inherente'!$AG$9,'[9]Mapa de Calor inherente'!$AE$9,IF(P222='[9]Mapa de Calor inherente'!$AG$10,'[9]Mapa de Calor inherente'!$AE$10,IF(P222='[9]Mapa de Calor inherente'!$AD$8,'[9]Mapa de Calor inherente'!$AE$8,IF(P222='[9]Mapa de Calor inherente'!$AD$9,'[9]Mapa de Calor inherente'!$AE$9,IF(P222='[9]Mapa de Calor inherente'!$AD$10,'[9]Mapa de Calor inherente'!$AE$10))))))))))))))</f>
        <v>0.2</v>
      </c>
      <c r="S222" s="292"/>
      <c r="T222" s="606" t="str">
        <f>+IF(N222=$BB$17,IF(Q222=$BC$16,$BC$17,IF(Q222=$BD$16,$BD$17,IF(Q222=$BE$16,$BE$17,IF(Q222=$BF$16,$BF$17,IF(Q222=$BG$16,$BG$17))))),IF(N222=$BB$18,IF(Q222=$BC$16,$BC$18,IF(Q222=$BD$16,$BD$18,IF(Q222=$BE$16,$BE$18,IF(Q222=$BF$16,$BF$18,IF(Q222=$BG$16,$BG$18))))),IF(N222=$BB$19,IF(Q222=$BC$16,$BC$19,IF(Q222=$BD$16,$BD$19,IF(Q222=$BE$16,$BE$19,IF(Q222=$BF$16,$BF$19,IF(Q222=$BG$16,$BG$19))))),IF(N222=$BB$20,IF(Q222=$BC$16,$BC$20,IF(Q222=$BD$16,$BD$20,IF(Q222=$BE$16,$BE$20,IF(Q222=$BF$16,$BF$20,IF(Q222=$BG$16,$BG$20))))),IF(N222=$BB$21,IF(Q222=$BC$16,$BC$21,IF(Q222=$BD$16,$BD$21,IF(Q222=$BE$16,$BE$21,IF(Q222=$BF$16,$BF$21,IF(Q222=$BG$16,$BG$21))))),"")))))</f>
        <v>Alto</v>
      </c>
      <c r="U222" s="139" t="s">
        <v>171</v>
      </c>
      <c r="V222" s="439" t="s">
        <v>409</v>
      </c>
      <c r="W222" s="313" t="s">
        <v>40</v>
      </c>
      <c r="X222" s="314">
        <f>IF(W222=[9]Listas!$B$46,[9]Listas!$C$46,IF(W222=[9]Listas!$B$47,[9]Listas!$C$47,IF(W222=[9]Listas!$B$48,[9]Listas!$C$48,"")))</f>
        <v>0.25</v>
      </c>
      <c r="Y222" s="315" t="str">
        <f>IF(OR(W222=[9]Listas!$F$53,W222=[9]Listas!$F$54),[9]Listas!$G$53,IF(W222=[9]Listas!$F$55,[9]Listas!$G$55,""))</f>
        <v>Probabilidad</v>
      </c>
      <c r="Z222" s="313" t="s">
        <v>43</v>
      </c>
      <c r="AA222" s="314">
        <f>+IF(Z222=[9]Listas!$E$46,[9]Listas!$F$46,IF(Z222=[9]Listas!$E$47,[9]Listas!$F$47,""))</f>
        <v>0.15</v>
      </c>
      <c r="AB222" s="181">
        <f>IFERROR(X222+AA222,"")</f>
        <v>0.4</v>
      </c>
      <c r="AC222" s="313" t="s">
        <v>57</v>
      </c>
      <c r="AD222" s="316" t="s">
        <v>58</v>
      </c>
      <c r="AE222" s="317" t="s">
        <v>59</v>
      </c>
      <c r="AF222" s="299" t="str">
        <f t="shared" si="28"/>
        <v>Media</v>
      </c>
      <c r="AG222" s="141">
        <f>IF(Y222=[9]Listas!$G$53,O222-(O222*AB222),O222)</f>
        <v>0.6</v>
      </c>
      <c r="AH222" s="561">
        <f>+IF(AG231="","",AG231)</f>
        <v>0.252</v>
      </c>
      <c r="AI222" s="299" t="str">
        <f>IF(AJ222="","",IF(AJ222&lt;=20%,"Leve",IF(AJ222&lt;=40%,"Menor",IF(AJ222&lt;=60%,"Moderado",IF(AJ222&lt;=80%,"Mayor","Catastrófico")))))</f>
        <v>Leve</v>
      </c>
      <c r="AJ222" s="141">
        <f>IF(Y222=[9]Listas!$G$55,R222-(R222*AB222),R222)</f>
        <v>0.2</v>
      </c>
      <c r="AK222" s="561">
        <f>+IF(AJ231="","",AJ231)</f>
        <v>0.2</v>
      </c>
      <c r="AL222" s="564" t="str">
        <f>+IF(AH222=0,"",IF(AH222&lt;=$BA$21,$BB$21,IF(AH222&lt;=$BA$20,$BB$20,IF(AH222&lt;=$BA$19,$BB$19,IF(AH222&lt;=$BA$18,$BB$18,IF(AH222&lt;=$BA$17,$BB$17,""))))))</f>
        <v>Baja</v>
      </c>
      <c r="AM222" s="564" t="str">
        <f>+IF(AK222=0,"",IF(AK222&lt;=$BC$15,$BC$16,IF(AK222&lt;=$BD$15,$BD$16,IF(AK222&lt;=$BE$15,$BE$16,IF(AK222&lt;=$BF$15,$BF$16,IF(AK222&lt;=$BG$15,$BG$16,""))))))</f>
        <v>Leve</v>
      </c>
      <c r="AN222" s="564" t="str">
        <f>IF(AL222=$BB$17,IF(AM222=$BC$16,$BC$17,IF(AM222=$BD$16,$BD$17,IF(AM222=$BE$16,$BE$17,IF(AM222=$BF$16,$BF$17,IF(AM222=$BG$16,$BG$17))))),IF(AL222=$BB$18,IF(AM222=$BC$16,$BC$18,IF(AM222=$BD$16,$BD$18,IF(AM222=$BE$16,$BE$18,IF(AM222=$BF$16,$BF$18,IF(AM222=$BG$16,$BG$18))))),IF(AL222=$BB$19,IF(AM222=$BC$16,$BC$19,IF(AM222=$BD$16,$BD$19,IF(AM222=$BE$16,$BE$19,IF(AM222=$BF$16,$BF$19,IF(AM222=$BG$16,$BG$19))))),IF(AL222=$BB$20,IF(AM222=$BC$16,$BC$20,IF(AM222=$BD$16,$BD$20,IF(AM222=$BE$16,$BE$20,IF(AM222=$BF$16,$BF$20,IF(AM222=$BG$16,$BG$20))))),IF(AL222=$BB$21,IF(AM222=$BC$16,$BC$21,IF(AM222=$BD$16,$BD$21,IF(AM222=$BE$16,$BE$21,IF(AM222=$BF$16,$BF$21,IF(AM222=$BG$16,$BG$21))))),"")))))</f>
        <v>Bajo</v>
      </c>
      <c r="AO222" s="567" t="str">
        <f>IF(AP222="","",IF(AP222=[9]Listas!$F$61,[9]Listas!$G$61,IF(AP222=[9]Listas!$F$63,[9]Listas!$G$63,IF(AP222=[9]Listas!$F$64,[9]Listas!$G$64))))</f>
        <v>No requiere Plan de Acción</v>
      </c>
      <c r="AP222" s="570" t="str">
        <f>IF(AN222="","",IF(OR(AN222=[9]Listas!$E$61,AN222=[9]Listas!$E$62),[9]Listas!$F$61,IF(AN222=[9]Listas!$E$63,[9]Listas!$F$63,IF(AN222=[9]Listas!$E$64,[9]Listas!$F$64))))</f>
        <v>Aceptar  el riesgo</v>
      </c>
      <c r="AQ222" s="318" t="s">
        <v>90</v>
      </c>
      <c r="AR222" s="211" t="s">
        <v>400</v>
      </c>
    </row>
    <row r="223" spans="2:70" ht="53.25" customHeight="1" thickTop="1" thickBot="1" x14ac:dyDescent="0.4">
      <c r="B223" s="870"/>
      <c r="C223" s="560"/>
      <c r="D223" s="745"/>
      <c r="E223" s="577"/>
      <c r="F223" s="625"/>
      <c r="G223" s="628"/>
      <c r="H223" s="628"/>
      <c r="I223" s="589"/>
      <c r="J223" s="589"/>
      <c r="K223" s="592"/>
      <c r="L223" s="589"/>
      <c r="M223" s="595"/>
      <c r="N223" s="598"/>
      <c r="O223" s="601"/>
      <c r="P223" s="595"/>
      <c r="Q223" s="604"/>
      <c r="R223" s="601"/>
      <c r="S223" s="286"/>
      <c r="T223" s="607"/>
      <c r="U223" s="142" t="s">
        <v>174</v>
      </c>
      <c r="V223" s="440" t="s">
        <v>410</v>
      </c>
      <c r="W223" s="319" t="s">
        <v>40</v>
      </c>
      <c r="X223" s="320">
        <f>IF(W223=[9]Listas!$B$46,[9]Listas!$C$46,IF(W223=[9]Listas!$B$47,[9]Listas!$C$47,IF(W223=[9]Listas!$B$48,[9]Listas!$C$48,"")))</f>
        <v>0.25</v>
      </c>
      <c r="Y223" s="321" t="str">
        <f>IF(OR(W223=[9]Listas!$F$53,W223=[9]Listas!$F$54),[9]Listas!$G$53,IF(W223=[9]Listas!$F$55,[9]Listas!$G$55,""))</f>
        <v>Probabilidad</v>
      </c>
      <c r="Z223" s="319" t="s">
        <v>43</v>
      </c>
      <c r="AA223" s="182">
        <f>+IF(Z223=[9]Listas!$E$46,[9]Listas!$F$46,IF(Z223=[9]Listas!$E$47,[9]Listas!$F$47,""))</f>
        <v>0.15</v>
      </c>
      <c r="AB223" s="183">
        <f>IFERROR(X223+AA223,"")</f>
        <v>0.4</v>
      </c>
      <c r="AC223" s="319" t="s">
        <v>57</v>
      </c>
      <c r="AD223" s="322" t="s">
        <v>58</v>
      </c>
      <c r="AE223" s="323" t="s">
        <v>59</v>
      </c>
      <c r="AF223" s="305" t="str">
        <f t="shared" si="28"/>
        <v>Baja</v>
      </c>
      <c r="AG223" s="145">
        <f>IF(Y223=[9]Listas!$G$53,AG222-(AG222*AB223),AG222)</f>
        <v>0.36</v>
      </c>
      <c r="AH223" s="562"/>
      <c r="AI223" s="305" t="str">
        <f t="shared" si="30"/>
        <v>Leve</v>
      </c>
      <c r="AJ223" s="145">
        <f>IF(Y223=[9]Listas!$G$55,AJ222-(AJ222*AB223),AJ222)</f>
        <v>0.2</v>
      </c>
      <c r="AK223" s="562"/>
      <c r="AL223" s="565"/>
      <c r="AM223" s="565"/>
      <c r="AN223" s="565"/>
      <c r="AO223" s="568"/>
      <c r="AP223" s="571"/>
      <c r="AQ223" s="324"/>
      <c r="AR223" s="197"/>
    </row>
    <row r="224" spans="2:70" ht="77.25" customHeight="1" thickTop="1" thickBot="1" x14ac:dyDescent="0.4">
      <c r="B224" s="870"/>
      <c r="C224" s="560"/>
      <c r="D224" s="745"/>
      <c r="E224" s="577"/>
      <c r="F224" s="625"/>
      <c r="G224" s="628"/>
      <c r="H224" s="628"/>
      <c r="I224" s="589"/>
      <c r="J224" s="589"/>
      <c r="K224" s="592"/>
      <c r="L224" s="589"/>
      <c r="M224" s="595"/>
      <c r="N224" s="598"/>
      <c r="O224" s="601"/>
      <c r="P224" s="595"/>
      <c r="Q224" s="604"/>
      <c r="R224" s="601"/>
      <c r="S224" s="287"/>
      <c r="T224" s="607"/>
      <c r="U224" s="142" t="s">
        <v>180</v>
      </c>
      <c r="V224" s="440" t="s">
        <v>411</v>
      </c>
      <c r="W224" s="319" t="s">
        <v>42</v>
      </c>
      <c r="X224" s="320">
        <f>IF(W224=[9]Listas!$B$46,[9]Listas!$C$46,IF(W224=[9]Listas!$B$47,[9]Listas!$C$47,IF(W224=[9]Listas!$B$48,[9]Listas!$C$48,"")))</f>
        <v>0.15</v>
      </c>
      <c r="Y224" s="321" t="str">
        <f>IF(OR(W224=[9]Listas!$F$53,W224=[9]Listas!$F$54),[9]Listas!$G$53,IF(W224=[9]Listas!$F$55,[9]Listas!$G$55,""))</f>
        <v>Probabilidad</v>
      </c>
      <c r="Z224" s="319" t="s">
        <v>43</v>
      </c>
      <c r="AA224" s="182">
        <f>+IF(Z224=[9]Listas!$E$46,[9]Listas!$F$46,IF(Z224=[9]Listas!$E$47,[9]Listas!$F$47,""))</f>
        <v>0.15</v>
      </c>
      <c r="AB224" s="183">
        <f>IFERROR(X224+AA224,"")</f>
        <v>0.3</v>
      </c>
      <c r="AC224" s="319" t="s">
        <v>57</v>
      </c>
      <c r="AD224" s="322" t="s">
        <v>58</v>
      </c>
      <c r="AE224" s="323" t="s">
        <v>59</v>
      </c>
      <c r="AF224" s="305" t="str">
        <f t="shared" si="28"/>
        <v>Baja</v>
      </c>
      <c r="AG224" s="145">
        <f>IF(Y224=[9]Listas!$G$53,AG223-(AG223*AB224),AG223)</f>
        <v>0.252</v>
      </c>
      <c r="AH224" s="562"/>
      <c r="AI224" s="305" t="str">
        <f t="shared" si="30"/>
        <v>Leve</v>
      </c>
      <c r="AJ224" s="145">
        <f>IF(Y224=[9]Listas!$G$55,AJ223-(AJ223*AB224),AJ223)</f>
        <v>0.2</v>
      </c>
      <c r="AK224" s="562"/>
      <c r="AL224" s="565"/>
      <c r="AM224" s="565"/>
      <c r="AN224" s="565"/>
      <c r="AO224" s="568"/>
      <c r="AP224" s="571"/>
      <c r="AQ224" s="324"/>
      <c r="AR224" s="184"/>
    </row>
    <row r="225" spans="2:44" ht="15" hidden="1" customHeight="1" x14ac:dyDescent="0.35">
      <c r="B225" s="870"/>
      <c r="C225" s="560"/>
      <c r="D225" s="745"/>
      <c r="E225" s="577"/>
      <c r="F225" s="625"/>
      <c r="G225" s="628"/>
      <c r="H225" s="628"/>
      <c r="I225" s="589"/>
      <c r="J225" s="589"/>
      <c r="K225" s="592"/>
      <c r="L225" s="589"/>
      <c r="M225" s="595"/>
      <c r="N225" s="598"/>
      <c r="O225" s="601"/>
      <c r="P225" s="595"/>
      <c r="Q225" s="604"/>
      <c r="R225" s="601"/>
      <c r="S225" s="287"/>
      <c r="T225" s="607"/>
      <c r="U225" s="142" t="s">
        <v>190</v>
      </c>
      <c r="V225" s="441"/>
      <c r="W225" s="319"/>
      <c r="X225" s="320" t="str">
        <f>IF(W225=[9]Listas!$B$46,[9]Listas!$C$46,IF(W225=[9]Listas!$B$47,[9]Listas!$C$47,IF(W225=[9]Listas!$B$48,[9]Listas!$C$48,"")))</f>
        <v/>
      </c>
      <c r="Y225" s="321" t="str">
        <f>IF(OR(W225=[9]Listas!$F$53,W225=[9]Listas!$F$54),[9]Listas!$G$53,IF(W225=[9]Listas!$F$55,[9]Listas!$G$55,""))</f>
        <v/>
      </c>
      <c r="Z225" s="319"/>
      <c r="AA225" s="182" t="str">
        <f>+IF(Z225=[9]Listas!$E$46,[9]Listas!$F$46,IF(Z225=[9]Listas!$E$47,[9]Listas!$F$47,""))</f>
        <v/>
      </c>
      <c r="AB225" s="183" t="str">
        <f t="shared" ref="AB225:AB231" si="32">IFERROR(X225+AA225,"")</f>
        <v/>
      </c>
      <c r="AC225" s="328"/>
      <c r="AD225" s="329"/>
      <c r="AE225" s="330"/>
      <c r="AF225" s="305" t="str">
        <f t="shared" si="28"/>
        <v>Baja</v>
      </c>
      <c r="AG225" s="145">
        <f>IF(Y225=[9]Listas!$G$53,AG224-(AG224*AB225),AG224)</f>
        <v>0.252</v>
      </c>
      <c r="AH225" s="562"/>
      <c r="AI225" s="305" t="str">
        <f t="shared" si="30"/>
        <v>Leve</v>
      </c>
      <c r="AJ225" s="145">
        <f>IF(Y225=[9]Listas!$G$55,AJ224-(AJ224*AB225),AJ224)</f>
        <v>0.2</v>
      </c>
      <c r="AK225" s="562"/>
      <c r="AL225" s="565"/>
      <c r="AM225" s="565"/>
      <c r="AN225" s="565"/>
      <c r="AO225" s="568"/>
      <c r="AP225" s="571"/>
      <c r="AQ225" s="324"/>
      <c r="AR225" s="185"/>
    </row>
    <row r="226" spans="2:44" ht="15" hidden="1" customHeight="1" x14ac:dyDescent="0.35">
      <c r="B226" s="870"/>
      <c r="C226" s="560"/>
      <c r="D226" s="745"/>
      <c r="E226" s="577"/>
      <c r="F226" s="625"/>
      <c r="G226" s="628"/>
      <c r="H226" s="628"/>
      <c r="I226" s="589"/>
      <c r="J226" s="589"/>
      <c r="K226" s="592"/>
      <c r="L226" s="589"/>
      <c r="M226" s="595"/>
      <c r="N226" s="598"/>
      <c r="O226" s="601"/>
      <c r="P226" s="595"/>
      <c r="Q226" s="604"/>
      <c r="R226" s="601"/>
      <c r="S226" s="287"/>
      <c r="T226" s="607"/>
      <c r="U226" s="142" t="s">
        <v>198</v>
      </c>
      <c r="V226" s="415"/>
      <c r="W226" s="331"/>
      <c r="X226" s="320" t="str">
        <f>IF(W226=[9]Listas!$B$46,[9]Listas!$C$46,IF(W226=[9]Listas!$B$47,[9]Listas!$C$47,IF(W226=[9]Listas!$B$48,[9]Listas!$C$48,"")))</f>
        <v/>
      </c>
      <c r="Y226" s="321" t="str">
        <f>IF(OR(W226=[9]Listas!$F$53,W226=[9]Listas!$F$54),[9]Listas!$G$53,IF(W226=[9]Listas!$F$55,[9]Listas!$G$55,""))</f>
        <v/>
      </c>
      <c r="Z226" s="331"/>
      <c r="AA226" s="182" t="str">
        <f>+IF(Z226=[9]Listas!$E$46,[9]Listas!$F$46,IF(Z226=[9]Listas!$E$47,[9]Listas!$F$47,""))</f>
        <v/>
      </c>
      <c r="AB226" s="183" t="str">
        <f t="shared" si="32"/>
        <v/>
      </c>
      <c r="AC226" s="319"/>
      <c r="AD226" s="322"/>
      <c r="AE226" s="323"/>
      <c r="AF226" s="305" t="str">
        <f t="shared" si="28"/>
        <v>Baja</v>
      </c>
      <c r="AG226" s="145">
        <f>IF(Y226=[9]Listas!$G$53,AG225-(AG225*AB226),AG225)</f>
        <v>0.252</v>
      </c>
      <c r="AH226" s="562"/>
      <c r="AI226" s="305" t="str">
        <f t="shared" si="30"/>
        <v>Leve</v>
      </c>
      <c r="AJ226" s="145">
        <f>IF(Y226=[9]Listas!$G$55,AJ225-(AJ225*AB226),AJ225)</f>
        <v>0.2</v>
      </c>
      <c r="AK226" s="562"/>
      <c r="AL226" s="565"/>
      <c r="AM226" s="565"/>
      <c r="AN226" s="565"/>
      <c r="AO226" s="568"/>
      <c r="AP226" s="571"/>
      <c r="AQ226" s="324"/>
      <c r="AR226" s="185"/>
    </row>
    <row r="227" spans="2:44" ht="15.75" hidden="1" customHeight="1" thickTop="1" x14ac:dyDescent="0.35">
      <c r="B227" s="870"/>
      <c r="C227" s="560"/>
      <c r="D227" s="745"/>
      <c r="E227" s="577"/>
      <c r="F227" s="625"/>
      <c r="G227" s="628"/>
      <c r="H227" s="628"/>
      <c r="I227" s="589"/>
      <c r="J227" s="589"/>
      <c r="K227" s="592"/>
      <c r="L227" s="589"/>
      <c r="M227" s="595"/>
      <c r="N227" s="598"/>
      <c r="O227" s="601"/>
      <c r="P227" s="595"/>
      <c r="Q227" s="604"/>
      <c r="R227" s="601"/>
      <c r="S227" s="288"/>
      <c r="T227" s="607"/>
      <c r="U227" s="142" t="s">
        <v>208</v>
      </c>
      <c r="V227" s="415"/>
      <c r="W227" s="331"/>
      <c r="X227" s="320" t="str">
        <f>IF(W227=[9]Listas!$B$46,[9]Listas!$C$46,IF(W227=[9]Listas!$B$47,[9]Listas!$C$47,IF(W227=[9]Listas!$B$48,[9]Listas!$C$48,"")))</f>
        <v/>
      </c>
      <c r="Y227" s="321" t="str">
        <f>IF(OR(W227=[9]Listas!$F$53,W227=[9]Listas!$F$54),[9]Listas!$G$53,IF(W227=[9]Listas!$F$55,[9]Listas!$G$55,""))</f>
        <v/>
      </c>
      <c r="Z227" s="331"/>
      <c r="AA227" s="182" t="str">
        <f>+IF(Z227=[9]Listas!$E$46,[9]Listas!$F$46,IF(Z227=[9]Listas!$E$47,[9]Listas!$F$47,""))</f>
        <v/>
      </c>
      <c r="AB227" s="183" t="str">
        <f t="shared" si="32"/>
        <v/>
      </c>
      <c r="AC227" s="319"/>
      <c r="AD227" s="322"/>
      <c r="AE227" s="323"/>
      <c r="AF227" s="305" t="str">
        <f t="shared" si="28"/>
        <v>Baja</v>
      </c>
      <c r="AG227" s="145">
        <f>IF(Y227=[9]Listas!$G$53,AG226-(AG226*AB227),AG226)</f>
        <v>0.252</v>
      </c>
      <c r="AH227" s="562"/>
      <c r="AI227" s="305" t="str">
        <f t="shared" si="30"/>
        <v>Leve</v>
      </c>
      <c r="AJ227" s="145">
        <f>IF(Y227=[9]Listas!$G$55,AJ226-(AJ226*AB227),AJ226)</f>
        <v>0.2</v>
      </c>
      <c r="AK227" s="562"/>
      <c r="AL227" s="565"/>
      <c r="AM227" s="565"/>
      <c r="AN227" s="565"/>
      <c r="AO227" s="568"/>
      <c r="AP227" s="571"/>
      <c r="AQ227" s="332"/>
      <c r="AR227" s="185"/>
    </row>
    <row r="228" spans="2:44" ht="15" hidden="1" customHeight="1" thickTop="1" x14ac:dyDescent="0.35">
      <c r="B228" s="870"/>
      <c r="C228" s="560"/>
      <c r="D228" s="745"/>
      <c r="E228" s="577"/>
      <c r="F228" s="625"/>
      <c r="G228" s="628"/>
      <c r="H228" s="628"/>
      <c r="I228" s="589"/>
      <c r="J228" s="589"/>
      <c r="K228" s="592"/>
      <c r="L228" s="589"/>
      <c r="M228" s="595"/>
      <c r="N228" s="598"/>
      <c r="O228" s="601"/>
      <c r="P228" s="595"/>
      <c r="Q228" s="604"/>
      <c r="R228" s="601"/>
      <c r="S228" s="289"/>
      <c r="T228" s="607"/>
      <c r="U228" s="142" t="s">
        <v>215</v>
      </c>
      <c r="V228" s="415"/>
      <c r="W228" s="331"/>
      <c r="X228" s="320" t="str">
        <f>IF(W228=[9]Listas!$B$46,[9]Listas!$C$46,IF(W228=[9]Listas!$B$47,[9]Listas!$C$47,IF(W228=[9]Listas!$B$48,[9]Listas!$C$48,"")))</f>
        <v/>
      </c>
      <c r="Y228" s="321" t="str">
        <f>IF(OR(W228=[9]Listas!$F$53,W228=[9]Listas!$F$54),[9]Listas!$G$53,IF(W228=[9]Listas!$F$55,[9]Listas!$G$55,""))</f>
        <v/>
      </c>
      <c r="Z228" s="331"/>
      <c r="AA228" s="182" t="str">
        <f>+IF(Z228=[9]Listas!$E$46,[9]Listas!$F$46,IF(Z228=[9]Listas!$E$47,[9]Listas!$F$47,""))</f>
        <v/>
      </c>
      <c r="AB228" s="183" t="str">
        <f t="shared" si="32"/>
        <v/>
      </c>
      <c r="AC228" s="319"/>
      <c r="AD228" s="322"/>
      <c r="AE228" s="323"/>
      <c r="AF228" s="305" t="str">
        <f t="shared" si="28"/>
        <v>Baja</v>
      </c>
      <c r="AG228" s="145">
        <f>IF(Y228=[9]Listas!$G$53,AG227-(AG227*AB228),AG227)</f>
        <v>0.252</v>
      </c>
      <c r="AH228" s="562"/>
      <c r="AI228" s="305" t="str">
        <f t="shared" si="30"/>
        <v>Leve</v>
      </c>
      <c r="AJ228" s="145">
        <f>IF(Y228=[9]Listas!$G$55,AJ227-(AJ227*AB228),AJ227)</f>
        <v>0.2</v>
      </c>
      <c r="AK228" s="562"/>
      <c r="AL228" s="565"/>
      <c r="AM228" s="565"/>
      <c r="AN228" s="565"/>
      <c r="AO228" s="568"/>
      <c r="AP228" s="571"/>
      <c r="AQ228" s="333"/>
      <c r="AR228" s="185"/>
    </row>
    <row r="229" spans="2:44" ht="15" hidden="1" customHeight="1" thickTop="1" x14ac:dyDescent="0.35">
      <c r="B229" s="870"/>
      <c r="C229" s="560"/>
      <c r="D229" s="745"/>
      <c r="E229" s="577"/>
      <c r="F229" s="625"/>
      <c r="G229" s="628"/>
      <c r="H229" s="628"/>
      <c r="I229" s="589"/>
      <c r="J229" s="589"/>
      <c r="K229" s="592"/>
      <c r="L229" s="589"/>
      <c r="M229" s="595"/>
      <c r="N229" s="598"/>
      <c r="O229" s="601"/>
      <c r="P229" s="595"/>
      <c r="Q229" s="604"/>
      <c r="R229" s="601"/>
      <c r="S229" s="289"/>
      <c r="T229" s="607"/>
      <c r="U229" s="142" t="s">
        <v>220</v>
      </c>
      <c r="V229" s="415"/>
      <c r="W229" s="331"/>
      <c r="X229" s="320" t="str">
        <f>IF(W229=[9]Listas!$B$46,[9]Listas!$C$46,IF(W229=[9]Listas!$B$47,[9]Listas!$C$47,IF(W229=[9]Listas!$B$48,[9]Listas!$C$48,"")))</f>
        <v/>
      </c>
      <c r="Y229" s="321" t="str">
        <f>IF(OR(W229=[9]Listas!$F$53,W229=[9]Listas!$F$54),[9]Listas!$G$53,IF(W229=[9]Listas!$F$55,[9]Listas!$G$55,""))</f>
        <v/>
      </c>
      <c r="Z229" s="331"/>
      <c r="AA229" s="182" t="str">
        <f>+IF(Z229=[9]Listas!$E$46,[9]Listas!$F$46,IF(Z229=[9]Listas!$E$47,[9]Listas!$F$47,""))</f>
        <v/>
      </c>
      <c r="AB229" s="183" t="str">
        <f t="shared" si="32"/>
        <v/>
      </c>
      <c r="AC229" s="319"/>
      <c r="AD229" s="322"/>
      <c r="AE229" s="323"/>
      <c r="AF229" s="305" t="str">
        <f t="shared" si="28"/>
        <v>Baja</v>
      </c>
      <c r="AG229" s="145">
        <f>IF(Y229=[9]Listas!$G$53,AG228-(AG228*AB229),AG228)</f>
        <v>0.252</v>
      </c>
      <c r="AH229" s="562"/>
      <c r="AI229" s="305" t="str">
        <f t="shared" si="30"/>
        <v>Leve</v>
      </c>
      <c r="AJ229" s="145">
        <f>IF(Y229=[9]Listas!$G$55,AJ228-(AJ228*AB229),AJ228)</f>
        <v>0.2</v>
      </c>
      <c r="AK229" s="562"/>
      <c r="AL229" s="565"/>
      <c r="AM229" s="565"/>
      <c r="AN229" s="565"/>
      <c r="AO229" s="568"/>
      <c r="AP229" s="571"/>
      <c r="AQ229" s="334"/>
      <c r="AR229" s="185"/>
    </row>
    <row r="230" spans="2:44" ht="15" hidden="1" customHeight="1" thickTop="1" x14ac:dyDescent="0.35">
      <c r="B230" s="870"/>
      <c r="C230" s="560"/>
      <c r="D230" s="745"/>
      <c r="E230" s="577"/>
      <c r="F230" s="625"/>
      <c r="G230" s="628"/>
      <c r="H230" s="628"/>
      <c r="I230" s="589"/>
      <c r="J230" s="589"/>
      <c r="K230" s="592"/>
      <c r="L230" s="589"/>
      <c r="M230" s="595"/>
      <c r="N230" s="598"/>
      <c r="O230" s="601"/>
      <c r="P230" s="595"/>
      <c r="Q230" s="604"/>
      <c r="R230" s="601"/>
      <c r="S230" s="289"/>
      <c r="T230" s="607"/>
      <c r="U230" s="142" t="s">
        <v>223</v>
      </c>
      <c r="V230" s="415"/>
      <c r="W230" s="331"/>
      <c r="X230" s="320" t="str">
        <f>IF(W230=[9]Listas!$B$46,[9]Listas!$C$46,IF(W230=[9]Listas!$B$47,[9]Listas!$C$47,IF(W230=[9]Listas!$B$48,[9]Listas!$C$48,"")))</f>
        <v/>
      </c>
      <c r="Y230" s="321" t="str">
        <f>IF(OR(W230=[9]Listas!$F$53,W230=[9]Listas!$F$54),[9]Listas!$G$53,IF(W230=[9]Listas!$F$55,[9]Listas!$G$55,""))</f>
        <v/>
      </c>
      <c r="Z230" s="331"/>
      <c r="AA230" s="182" t="str">
        <f>+IF(Z230=[9]Listas!$E$46,[9]Listas!$F$46,IF(Z230=[9]Listas!$E$47,[9]Listas!$F$47,""))</f>
        <v/>
      </c>
      <c r="AB230" s="183" t="str">
        <f t="shared" si="32"/>
        <v/>
      </c>
      <c r="AC230" s="319"/>
      <c r="AD230" s="322"/>
      <c r="AE230" s="323"/>
      <c r="AF230" s="305" t="str">
        <f t="shared" si="28"/>
        <v>Baja</v>
      </c>
      <c r="AG230" s="145">
        <f>IF(Y230=[9]Listas!$G$53,AG229-(AG229*AB230),AG229)</f>
        <v>0.252</v>
      </c>
      <c r="AH230" s="562"/>
      <c r="AI230" s="305" t="str">
        <f t="shared" si="30"/>
        <v>Leve</v>
      </c>
      <c r="AJ230" s="145">
        <f>IF(Y230=[9]Listas!$G$55,AJ229-(AJ229*AB230),AJ229)</f>
        <v>0.2</v>
      </c>
      <c r="AK230" s="562"/>
      <c r="AL230" s="565"/>
      <c r="AM230" s="565"/>
      <c r="AN230" s="565"/>
      <c r="AO230" s="568"/>
      <c r="AP230" s="571"/>
      <c r="AQ230" s="324"/>
      <c r="AR230" s="185"/>
    </row>
    <row r="231" spans="2:44" ht="15.75" hidden="1" customHeight="1" thickTop="1" x14ac:dyDescent="0.35">
      <c r="B231" s="870"/>
      <c r="C231" s="560"/>
      <c r="D231" s="746"/>
      <c r="E231" s="578"/>
      <c r="F231" s="626"/>
      <c r="G231" s="629"/>
      <c r="H231" s="629"/>
      <c r="I231" s="590"/>
      <c r="J231" s="590"/>
      <c r="K231" s="593"/>
      <c r="L231" s="590"/>
      <c r="M231" s="596"/>
      <c r="N231" s="599"/>
      <c r="O231" s="602"/>
      <c r="P231" s="596"/>
      <c r="Q231" s="605"/>
      <c r="R231" s="602"/>
      <c r="S231" s="293"/>
      <c r="T231" s="608"/>
      <c r="U231" s="202" t="s">
        <v>224</v>
      </c>
      <c r="V231" s="416"/>
      <c r="W231" s="335"/>
      <c r="X231" s="336" t="str">
        <f>IF(W231=[9]Listas!$B$46,[9]Listas!$C$46,IF(W231=[9]Listas!$B$47,[9]Listas!$C$47,IF(W231=[9]Listas!$B$48,[9]Listas!$C$48,"")))</f>
        <v/>
      </c>
      <c r="Y231" s="337" t="str">
        <f>IF(OR(W231=[9]Listas!$F$53,W231=[9]Listas!$F$54),[9]Listas!$G$53,IF(W231=[9]Listas!$F$55,[9]Listas!$G$55,""))</f>
        <v/>
      </c>
      <c r="Z231" s="335"/>
      <c r="AA231" s="186" t="str">
        <f>+IF(Z231=[9]Listas!$E$46,[9]Listas!$F$46,IF(Z231=[9]Listas!$E$47,[9]Listas!$F$47,""))</f>
        <v/>
      </c>
      <c r="AB231" s="187" t="str">
        <f t="shared" si="32"/>
        <v/>
      </c>
      <c r="AC231" s="338"/>
      <c r="AD231" s="339"/>
      <c r="AE231" s="340"/>
      <c r="AF231" s="311" t="str">
        <f t="shared" si="28"/>
        <v>Baja</v>
      </c>
      <c r="AG231" s="179">
        <f>IF(Y231=[9]Listas!$G$53,AG230-(AG230*AB231),AG230)</f>
        <v>0.252</v>
      </c>
      <c r="AH231" s="563"/>
      <c r="AI231" s="311" t="str">
        <f t="shared" si="30"/>
        <v>Leve</v>
      </c>
      <c r="AJ231" s="179">
        <f>IF(Y231=[9]Listas!$G$55,AJ230-(AJ230*AB231),AJ230)</f>
        <v>0.2</v>
      </c>
      <c r="AK231" s="563"/>
      <c r="AL231" s="566"/>
      <c r="AM231" s="566"/>
      <c r="AN231" s="566"/>
      <c r="AO231" s="569"/>
      <c r="AP231" s="572"/>
      <c r="AQ231" s="341"/>
      <c r="AR231" s="188"/>
    </row>
    <row r="232" spans="2:44" ht="57" thickTop="1" thickBot="1" x14ac:dyDescent="0.4">
      <c r="B232" s="870"/>
      <c r="C232" s="560"/>
      <c r="D232" s="744" t="s">
        <v>412</v>
      </c>
      <c r="E232" s="576" t="s">
        <v>5</v>
      </c>
      <c r="F232" s="624" t="s">
        <v>413</v>
      </c>
      <c r="G232" s="627" t="s">
        <v>414</v>
      </c>
      <c r="H232" s="627" t="s">
        <v>415</v>
      </c>
      <c r="I232" s="588" t="s">
        <v>28</v>
      </c>
      <c r="J232" s="588" t="s">
        <v>22</v>
      </c>
      <c r="K232" s="591" t="s">
        <v>416</v>
      </c>
      <c r="L232" s="588" t="s">
        <v>186</v>
      </c>
      <c r="M232" s="594" t="s">
        <v>222</v>
      </c>
      <c r="N232" s="597" t="str">
        <f>+IF(M232="","",IF(M232=$BO$15,$BN$15,IF(M232=$BO$16,$BN$16,IF(M232=$BO$17,$BN$17,IF(M232=$BO$18,$BN$18,IF(M232=$BO$19,$BN$19))))))</f>
        <v>Muy Alta</v>
      </c>
      <c r="O232" s="600">
        <f>+IF(M232="","",IF(M232=$BO$15,$BR$15,IF(M232=$BO$16,$BR$16,IF(M232=$BO$17,$BR$17,IF(M232=$BO$18,$BR$18,IF(M232=$BO$19,$BR$19))))))</f>
        <v>1</v>
      </c>
      <c r="P232" s="594" t="s">
        <v>212</v>
      </c>
      <c r="Q232" s="603" t="str">
        <f>+IF(P232="","",IF(P232='[9]Mapa de Calor inherente'!$AF$6,'[9]Mapa de Calor inherente'!$AD$6,IF(P232='[9]Mapa de Calor inherente'!$AF$7,'[9]Mapa de Calor inherente'!$AD$7,IF(P232='[9]Mapa de Calor inherente'!$AF$8,'[9]Mapa de Calor inherente'!$AD$8,IF(P232='[9]Mapa de Calor inherente'!$AF$9,'[9]Mapa de Calor inherente'!$AD$9,IF(P232='[9]Mapa de Calor inherente'!$AF$10,'[9]Mapa de Calor inherente'!$AD$10,IF(P232='[9]Mapa de Calor inherente'!$AG$6,'[9]Mapa de Calor inherente'!$AD$6,IF(P232='[9]Mapa de Calor inherente'!$AG$7,'[9]Mapa de Calor inherente'!$AD$7,IF(P232='[9]Mapa de Calor inherente'!$AG$8,'[9]Mapa de Calor inherente'!$AD$8,IF(P232='[9]Mapa de Calor inherente'!$AG$9,'[9]Mapa de Calor inherente'!$AD$9,IF(P232='[9]Mapa de Calor inherente'!$AG$10,'[9]Mapa de Calor inherente'!$AD$10,IF(P232='[9]Mapa de Calor inherente'!$AD$8,'[9]Mapa de Calor inherente'!$AD$8,IF(P232='[9]Mapa de Calor inherente'!$AD$9,'[9]Mapa de Calor inherente'!$AD$9,IF(P232='[9]Mapa de Calor inherente'!$AD$10,'[9]Mapa de Calor inherente'!$AD$10))))))))))))))</f>
        <v>Moderado</v>
      </c>
      <c r="R232" s="600">
        <f>+IF(P232="","",IF(P232='[9]Mapa de Calor inherente'!$AF$6,'[9]Mapa de Calor inherente'!$AE$6,IF(P232='[9]Mapa de Calor inherente'!$AF$7,'[9]Mapa de Calor inherente'!$AE$7,IF(P232='[9]Mapa de Calor inherente'!$AF$8,'[9]Mapa de Calor inherente'!$AE$8,IF(P232='[9]Mapa de Calor inherente'!$AF$9,'[9]Mapa de Calor inherente'!$AE$9,IF(P232='[9]Mapa de Calor inherente'!$AF$10,'[9]Mapa de Calor inherente'!$AE$10,IF(P232='[9]Mapa de Calor inherente'!$AG$6,'[9]Mapa de Calor inherente'!$AE$6,IF(P232='[9]Mapa de Calor inherente'!$AG$7,'[9]Mapa de Calor inherente'!$AE$7,IF(P232='[9]Mapa de Calor inherente'!$AG$8,'[9]Mapa de Calor inherente'!$AE$8,IF(P232='[9]Mapa de Calor inherente'!$AG$9,'[9]Mapa de Calor inherente'!$AE$9,IF(P232='[9]Mapa de Calor inherente'!$AG$10,'[9]Mapa de Calor inherente'!$AE$10,IF(P232='[9]Mapa de Calor inherente'!$AD$8,'[9]Mapa de Calor inherente'!$AE$8,IF(P232='[9]Mapa de Calor inherente'!$AD$9,'[9]Mapa de Calor inherente'!$AE$9,IF(P232='[9]Mapa de Calor inherente'!$AD$10,'[9]Mapa de Calor inherente'!$AE$10))))))))))))))</f>
        <v>0.6</v>
      </c>
      <c r="S232" s="292"/>
      <c r="T232" s="603" t="str">
        <f>+IF(N232=$BB$17,IF(Q232=$BC$16,$BC$17,IF(Q232=$BD$16,$BD$17,IF(Q232=$BE$16,$BE$17,IF(Q232=$BF$16,$BF$17,IF(Q232=$BG$16,$BG$17))))),IF(N232=$BB$18,IF(Q232=$BC$16,$BC$18,IF(Q232=$BD$16,$BD$18,IF(Q232=$BE$16,$BE$18,IF(Q232=$BF$16,$BF$18,IF(Q232=$BG$16,$BG$18))))),IF(N232=$BB$19,IF(Q232=$BC$16,$BC$19,IF(Q232=$BD$16,$BD$19,IF(Q232=$BE$16,$BE$19,IF(Q232=$BF$16,$BF$19,IF(Q232=$BG$16,$BG$19))))),IF(N232=$BB$20,IF(Q232=$BC$16,$BC$20,IF(Q232=$BD$16,$BD$20,IF(Q232=$BE$16,$BE$20,IF(Q232=$BF$16,$BF$20,IF(Q232=$BG$16,$BG$20))))),IF(N232=$BB$21,IF(Q232=$BC$16,$BC$21,IF(Q232=$BD$16,$BD$21,IF(Q232=$BE$16,$BE$21,IF(Q232=$BF$16,$BF$21,IF(Q232=$BG$16,$BG$21))))),"")))))</f>
        <v>Alto</v>
      </c>
      <c r="U232" s="139" t="s">
        <v>171</v>
      </c>
      <c r="V232" s="442" t="s">
        <v>417</v>
      </c>
      <c r="W232" s="313" t="s">
        <v>40</v>
      </c>
      <c r="X232" s="314">
        <f>IF(W232=[9]Listas!$B$46,[9]Listas!$C$46,IF(W232=[9]Listas!$B$47,[9]Listas!$C$47,IF(W232=[9]Listas!$B$48,[9]Listas!$C$48,"")))</f>
        <v>0.25</v>
      </c>
      <c r="Y232" s="315" t="str">
        <f>IF(OR(W232=[9]Listas!$F$53,W232=[9]Listas!$F$54),[9]Listas!$G$53,IF(W232=[9]Listas!$F$55,[9]Listas!$G$55,""))</f>
        <v>Probabilidad</v>
      </c>
      <c r="Z232" s="313" t="s">
        <v>43</v>
      </c>
      <c r="AA232" s="314">
        <f>+IF(Z232=[9]Listas!$E$46,[9]Listas!$F$46,IF(Z232=[9]Listas!$E$47,[9]Listas!$F$47,""))</f>
        <v>0.15</v>
      </c>
      <c r="AB232" s="181">
        <f>IFERROR(X232+AA232,"")</f>
        <v>0.4</v>
      </c>
      <c r="AC232" s="313" t="s">
        <v>57</v>
      </c>
      <c r="AD232" s="313" t="s">
        <v>58</v>
      </c>
      <c r="AE232" s="317" t="s">
        <v>59</v>
      </c>
      <c r="AF232" s="299" t="str">
        <f t="shared" si="28"/>
        <v>Media</v>
      </c>
      <c r="AG232" s="141">
        <f>IF(Y232=[9]Listas!$G$53,O232-(O232*AB232),O232)</f>
        <v>0.6</v>
      </c>
      <c r="AH232" s="561">
        <f>+IF(AG241="","",AG241)</f>
        <v>6.3504000000000005E-2</v>
      </c>
      <c r="AI232" s="299" t="str">
        <f>IF(AJ232="","",IF(AJ232&lt;=20%,"Leve",IF(AJ232&lt;=40%,"Menor",IF(AJ232&lt;=60%,"Moderado",IF(AJ232&lt;=80%,"Mayor","Catastrófico")))))</f>
        <v>Moderado</v>
      </c>
      <c r="AJ232" s="141">
        <f>IF(Y232=[9]Listas!$G$55,R232-(R232*AB232),R232)</f>
        <v>0.6</v>
      </c>
      <c r="AK232" s="561">
        <f>+IF(AJ241="","",AJ241)</f>
        <v>0.33749999999999997</v>
      </c>
      <c r="AL232" s="564" t="str">
        <f>+IF(AH232=0,"",IF(AH232&lt;=$BA$21,$BB$21,IF(AH232&lt;=$BA$20,$BB$20,IF(AH232&lt;=$BA$19,$BB$19,IF(AH232&lt;=$BA$18,$BB$18,IF(AH232&lt;=$BA$17,$BB$17,""))))))</f>
        <v>Muy Baja</v>
      </c>
      <c r="AM232" s="564" t="str">
        <f>+IF(AK232=0,"",IF(AK232&lt;=$BC$15,$BC$16,IF(AK232&lt;=$BD$15,$BD$16,IF(AK232&lt;=$BE$15,$BE$16,IF(AK232&lt;=$BF$15,$BF$16,IF(AK232&lt;=$BG$15,$BG$16,""))))))</f>
        <v>Menor</v>
      </c>
      <c r="AN232" s="564" t="str">
        <f>IF(AL232=$BB$17,IF(AM232=$BC$16,$BC$17,IF(AM232=$BD$16,$BD$17,IF(AM232=$BE$16,$BE$17,IF(AM232=$BF$16,$BF$17,IF(AM232=$BG$16,$BG$17))))),IF(AL232=$BB$18,IF(AM232=$BC$16,$BC$18,IF(AM232=$BD$16,$BD$18,IF(AM232=$BE$16,$BE$18,IF(AM232=$BF$16,$BF$18,IF(AM232=$BG$16,$BG$18))))),IF(AL232=$BB$19,IF(AM232=$BC$16,$BC$19,IF(AM232=$BD$16,$BD$19,IF(AM232=$BE$16,$BE$19,IF(AM232=$BF$16,$BF$19,IF(AM232=$BG$16,$BG$19))))),IF(AL232=$BB$20,IF(AM232=$BC$16,$BC$20,IF(AM232=$BD$16,$BD$20,IF(AM232=$BE$16,$BE$20,IF(AM232=$BF$16,$BF$20,IF(AM232=$BG$16,$BG$20))))),IF(AL232=$BB$21,IF(AM232=$BC$16,$BC$21,IF(AM232=$BD$16,$BD$21,IF(AM232=$BE$16,$BE$21,IF(AM232=$BF$16,$BF$21,IF(AM232=$BG$16,$BG$21))))),"")))))</f>
        <v>Bajo</v>
      </c>
      <c r="AO232" s="567" t="str">
        <f>IF(AP232="","",IF(AP232=[9]Listas!$F$61,[9]Listas!$G$61,IF(AP232=[9]Listas!$F$63,[9]Listas!$G$63,IF(AP232=[9]Listas!$F$64,[9]Listas!$G$64))))</f>
        <v>No requiere Plan de Acción</v>
      </c>
      <c r="AP232" s="570" t="str">
        <f>IF(AN232="","",IF(OR(AN232=[9]Listas!$E$61,AN232=[9]Listas!$E$62),[9]Listas!$F$61,IF(AN232=[9]Listas!$E$63,[9]Listas!$F$63,IF(AN232=[9]Listas!$E$64,[9]Listas!$F$64))))</f>
        <v>Aceptar  el riesgo</v>
      </c>
      <c r="AQ232" s="342" t="s">
        <v>90</v>
      </c>
      <c r="AR232" s="211" t="s">
        <v>400</v>
      </c>
    </row>
    <row r="233" spans="2:44" ht="49.5" customHeight="1" thickTop="1" thickBot="1" x14ac:dyDescent="0.4">
      <c r="B233" s="870"/>
      <c r="C233" s="560"/>
      <c r="D233" s="745"/>
      <c r="E233" s="577"/>
      <c r="F233" s="625"/>
      <c r="G233" s="628"/>
      <c r="H233" s="628"/>
      <c r="I233" s="589"/>
      <c r="J233" s="589"/>
      <c r="K233" s="592"/>
      <c r="L233" s="589"/>
      <c r="M233" s="595"/>
      <c r="N233" s="598"/>
      <c r="O233" s="601"/>
      <c r="P233" s="595"/>
      <c r="Q233" s="604"/>
      <c r="R233" s="601"/>
      <c r="S233" s="286"/>
      <c r="T233" s="604"/>
      <c r="U233" s="212" t="s">
        <v>174</v>
      </c>
      <c r="V233" s="443" t="s">
        <v>418</v>
      </c>
      <c r="W233" s="331" t="s">
        <v>44</v>
      </c>
      <c r="X233" s="320">
        <f>IF(W233=[9]Listas!$B$46,[9]Listas!$C$46,IF(W233=[9]Listas!$B$47,[9]Listas!$C$47,IF(W233=[9]Listas!$B$48,[9]Listas!$C$48,"")))</f>
        <v>0.1</v>
      </c>
      <c r="Y233" s="321" t="str">
        <f>IF(OR(W233=[9]Listas!$F$53,W233=[9]Listas!$F$54),[9]Listas!$G$53,IF(W233=[9]Listas!$F$55,[9]Listas!$G$55,""))</f>
        <v>Impacto</v>
      </c>
      <c r="Z233" s="331" t="s">
        <v>43</v>
      </c>
      <c r="AA233" s="182">
        <f>+IF(Z233=[9]Listas!$E$46,[9]Listas!$F$46,IF(Z233=[9]Listas!$E$47,[9]Listas!$F$47,""))</f>
        <v>0.15</v>
      </c>
      <c r="AB233" s="183">
        <f>IFERROR(X233+AA233,"")</f>
        <v>0.25</v>
      </c>
      <c r="AC233" s="319" t="s">
        <v>57</v>
      </c>
      <c r="AD233" s="319" t="s">
        <v>58</v>
      </c>
      <c r="AE233" s="323" t="s">
        <v>59</v>
      </c>
      <c r="AF233" s="305" t="str">
        <f t="shared" si="28"/>
        <v>Media</v>
      </c>
      <c r="AG233" s="145">
        <f>IF(Y233=[9]Listas!$G$53,AG232-(AG232*AB233),AG232)</f>
        <v>0.6</v>
      </c>
      <c r="AH233" s="562"/>
      <c r="AI233" s="305" t="str">
        <f t="shared" si="30"/>
        <v>Moderado</v>
      </c>
      <c r="AJ233" s="145">
        <f>IF(Y233=[9]Listas!$G$55,AJ232-(AJ232*AB233),AJ232)</f>
        <v>0.44999999999999996</v>
      </c>
      <c r="AK233" s="562"/>
      <c r="AL233" s="565"/>
      <c r="AM233" s="565"/>
      <c r="AN233" s="565"/>
      <c r="AO233" s="568"/>
      <c r="AP233" s="571"/>
      <c r="AQ233" s="343"/>
      <c r="AR233" s="191"/>
    </row>
    <row r="234" spans="2:44" ht="41.25" customHeight="1" thickTop="1" thickBot="1" x14ac:dyDescent="0.4">
      <c r="B234" s="870"/>
      <c r="C234" s="560"/>
      <c r="D234" s="745"/>
      <c r="E234" s="577"/>
      <c r="F234" s="625"/>
      <c r="G234" s="628"/>
      <c r="H234" s="628"/>
      <c r="I234" s="589"/>
      <c r="J234" s="589"/>
      <c r="K234" s="592"/>
      <c r="L234" s="589"/>
      <c r="M234" s="595"/>
      <c r="N234" s="598"/>
      <c r="O234" s="601"/>
      <c r="P234" s="595"/>
      <c r="Q234" s="604"/>
      <c r="R234" s="601"/>
      <c r="S234" s="287"/>
      <c r="T234" s="604"/>
      <c r="U234" s="212" t="s">
        <v>180</v>
      </c>
      <c r="V234" s="443" t="s">
        <v>419</v>
      </c>
      <c r="W234" s="331" t="s">
        <v>42</v>
      </c>
      <c r="X234" s="320">
        <f>IF(W234=[9]Listas!$B$46,[9]Listas!$C$46,IF(W234=[9]Listas!$B$47,[9]Listas!$C$47,IF(W234=[9]Listas!$B$48,[9]Listas!$C$48,"")))</f>
        <v>0.15</v>
      </c>
      <c r="Y234" s="321" t="str">
        <f>IF(OR(W234=[9]Listas!$F$53,W234=[9]Listas!$F$54),[9]Listas!$G$53,IF(W234=[9]Listas!$F$55,[9]Listas!$G$55,""))</f>
        <v>Probabilidad</v>
      </c>
      <c r="Z234" s="331" t="s">
        <v>43</v>
      </c>
      <c r="AA234" s="182">
        <f>+IF(Z234=[9]Listas!$E$46,[9]Listas!$F$46,IF(Z234=[9]Listas!$E$47,[9]Listas!$F$47,""))</f>
        <v>0.15</v>
      </c>
      <c r="AB234" s="183">
        <f>IFERROR(X234+AA234,"")</f>
        <v>0.3</v>
      </c>
      <c r="AC234" s="319" t="s">
        <v>57</v>
      </c>
      <c r="AD234" s="319" t="s">
        <v>58</v>
      </c>
      <c r="AE234" s="323" t="s">
        <v>59</v>
      </c>
      <c r="AF234" s="305" t="str">
        <f t="shared" si="28"/>
        <v>Media</v>
      </c>
      <c r="AG234" s="145">
        <f>IF(Y234=[9]Listas!$G$53,AG233-(AG233*AB234),AG233)</f>
        <v>0.42</v>
      </c>
      <c r="AH234" s="562"/>
      <c r="AI234" s="305" t="str">
        <f t="shared" si="30"/>
        <v>Moderado</v>
      </c>
      <c r="AJ234" s="145">
        <f>IF(Y234=[9]Listas!$G$55,AJ233-(AJ233*AB234),AJ233)</f>
        <v>0.44999999999999996</v>
      </c>
      <c r="AK234" s="562"/>
      <c r="AL234" s="565"/>
      <c r="AM234" s="565"/>
      <c r="AN234" s="565"/>
      <c r="AO234" s="568"/>
      <c r="AP234" s="571"/>
      <c r="AQ234" s="343"/>
      <c r="AR234" s="191"/>
    </row>
    <row r="235" spans="2:44" ht="29" thickTop="1" thickBot="1" x14ac:dyDescent="0.4">
      <c r="B235" s="870"/>
      <c r="C235" s="560"/>
      <c r="D235" s="745"/>
      <c r="E235" s="577"/>
      <c r="F235" s="625"/>
      <c r="G235" s="628"/>
      <c r="H235" s="628"/>
      <c r="I235" s="589"/>
      <c r="J235" s="589"/>
      <c r="K235" s="592"/>
      <c r="L235" s="589"/>
      <c r="M235" s="595"/>
      <c r="N235" s="598"/>
      <c r="O235" s="601"/>
      <c r="P235" s="595"/>
      <c r="Q235" s="604"/>
      <c r="R235" s="601"/>
      <c r="S235" s="287"/>
      <c r="T235" s="604"/>
      <c r="U235" s="212" t="s">
        <v>190</v>
      </c>
      <c r="V235" s="444" t="s">
        <v>420</v>
      </c>
      <c r="W235" s="331" t="s">
        <v>42</v>
      </c>
      <c r="X235" s="320">
        <f>IF(W235=[9]Listas!$B$46,[9]Listas!$C$46,IF(W235=[9]Listas!$B$47,[9]Listas!$C$47,IF(W235=[9]Listas!$B$48,[9]Listas!$C$48,"")))</f>
        <v>0.15</v>
      </c>
      <c r="Y235" s="321" t="str">
        <f>IF(OR(W235=[9]Listas!$F$53,W235=[9]Listas!$F$54),[9]Listas!$G$53,IF(W235=[9]Listas!$F$55,[9]Listas!$G$55,""))</f>
        <v>Probabilidad</v>
      </c>
      <c r="Z235" s="331" t="s">
        <v>43</v>
      </c>
      <c r="AA235" s="182">
        <f>+IF(Z235=[9]Listas!$E$46,[9]Listas!$F$46,IF(Z235=[9]Listas!$E$47,[9]Listas!$F$47,""))</f>
        <v>0.15</v>
      </c>
      <c r="AB235" s="183">
        <f t="shared" ref="AB235:AB241" si="33">IFERROR(X235+AA235,"")</f>
        <v>0.3</v>
      </c>
      <c r="AC235" s="319" t="s">
        <v>57</v>
      </c>
      <c r="AD235" s="319" t="s">
        <v>58</v>
      </c>
      <c r="AE235" s="323" t="s">
        <v>59</v>
      </c>
      <c r="AF235" s="305" t="str">
        <f t="shared" si="28"/>
        <v>Baja</v>
      </c>
      <c r="AG235" s="145">
        <f>IF(Y235=[9]Listas!$G$53,AG234-(AG234*AB235),AG234)</f>
        <v>0.29399999999999998</v>
      </c>
      <c r="AH235" s="562"/>
      <c r="AI235" s="305" t="str">
        <f t="shared" si="30"/>
        <v>Moderado</v>
      </c>
      <c r="AJ235" s="145">
        <f>IF(Y235=[9]Listas!$G$55,AJ234-(AJ234*AB235),AJ234)</f>
        <v>0.44999999999999996</v>
      </c>
      <c r="AK235" s="562"/>
      <c r="AL235" s="565"/>
      <c r="AM235" s="565"/>
      <c r="AN235" s="565"/>
      <c r="AO235" s="568"/>
      <c r="AP235" s="571"/>
      <c r="AQ235" s="344"/>
      <c r="AR235" s="191"/>
    </row>
    <row r="236" spans="2:44" ht="47.15" customHeight="1" thickTop="1" thickBot="1" x14ac:dyDescent="0.4">
      <c r="B236" s="870"/>
      <c r="C236" s="560"/>
      <c r="D236" s="745"/>
      <c r="E236" s="577"/>
      <c r="F236" s="625"/>
      <c r="G236" s="628"/>
      <c r="H236" s="628"/>
      <c r="I236" s="589"/>
      <c r="J236" s="589"/>
      <c r="K236" s="592"/>
      <c r="L236" s="589"/>
      <c r="M236" s="595"/>
      <c r="N236" s="598"/>
      <c r="O236" s="601"/>
      <c r="P236" s="595"/>
      <c r="Q236" s="604"/>
      <c r="R236" s="601"/>
      <c r="S236" s="287"/>
      <c r="T236" s="604"/>
      <c r="U236" s="212" t="s">
        <v>198</v>
      </c>
      <c r="V236" s="444" t="s">
        <v>421</v>
      </c>
      <c r="W236" s="331" t="s">
        <v>40</v>
      </c>
      <c r="X236" s="320">
        <f>IF(W236=[9]Listas!$B$46,[9]Listas!$C$46,IF(W236=[9]Listas!$B$47,[9]Listas!$C$47,IF(W236=[9]Listas!$B$48,[9]Listas!$C$48,"")))</f>
        <v>0.25</v>
      </c>
      <c r="Y236" s="321" t="str">
        <f>IF(OR(W236=[9]Listas!$F$53,W236=[9]Listas!$F$54),[9]Listas!$G$53,IF(W236=[9]Listas!$F$55,[9]Listas!$G$55,""))</f>
        <v>Probabilidad</v>
      </c>
      <c r="Z236" s="331" t="s">
        <v>43</v>
      </c>
      <c r="AA236" s="182">
        <f>+IF(Z236=[9]Listas!$E$46,[9]Listas!$F$46,IF(Z236=[9]Listas!$E$47,[9]Listas!$F$47,""))</f>
        <v>0.15</v>
      </c>
      <c r="AB236" s="183">
        <f t="shared" si="33"/>
        <v>0.4</v>
      </c>
      <c r="AC236" s="319" t="s">
        <v>57</v>
      </c>
      <c r="AD236" s="319" t="s">
        <v>58</v>
      </c>
      <c r="AE236" s="323" t="s">
        <v>59</v>
      </c>
      <c r="AF236" s="305" t="str">
        <f t="shared" si="28"/>
        <v>Muy baja</v>
      </c>
      <c r="AG236" s="145">
        <f>IF(Y236=[9]Listas!$G$53,AG235-(AG235*AB236),AG235)</f>
        <v>0.1764</v>
      </c>
      <c r="AH236" s="562"/>
      <c r="AI236" s="305" t="str">
        <f t="shared" si="30"/>
        <v>Moderado</v>
      </c>
      <c r="AJ236" s="145">
        <f>IF(Y236=[9]Listas!$G$55,AJ235-(AJ235*AB236),AJ235)</f>
        <v>0.44999999999999996</v>
      </c>
      <c r="AK236" s="562"/>
      <c r="AL236" s="565"/>
      <c r="AM236" s="565"/>
      <c r="AN236" s="565"/>
      <c r="AO236" s="568"/>
      <c r="AP236" s="571"/>
      <c r="AQ236" s="343"/>
      <c r="AR236" s="191"/>
    </row>
    <row r="237" spans="2:44" ht="29" thickTop="1" thickBot="1" x14ac:dyDescent="0.4">
      <c r="B237" s="870"/>
      <c r="C237" s="560"/>
      <c r="D237" s="745"/>
      <c r="E237" s="577"/>
      <c r="F237" s="625"/>
      <c r="G237" s="628"/>
      <c r="H237" s="628"/>
      <c r="I237" s="589"/>
      <c r="J237" s="589"/>
      <c r="K237" s="592"/>
      <c r="L237" s="589"/>
      <c r="M237" s="595"/>
      <c r="N237" s="598"/>
      <c r="O237" s="601"/>
      <c r="P237" s="595"/>
      <c r="Q237" s="604"/>
      <c r="R237" s="601"/>
      <c r="S237" s="288"/>
      <c r="T237" s="604"/>
      <c r="U237" s="212" t="s">
        <v>208</v>
      </c>
      <c r="V237" s="443" t="s">
        <v>422</v>
      </c>
      <c r="W237" s="331" t="s">
        <v>40</v>
      </c>
      <c r="X237" s="320">
        <f>IF(W237=[9]Listas!$B$46,[9]Listas!$C$46,IF(W237=[9]Listas!$B$47,[9]Listas!$C$47,IF(W237=[9]Listas!$B$48,[9]Listas!$C$48,"")))</f>
        <v>0.25</v>
      </c>
      <c r="Y237" s="321" t="str">
        <f>IF(OR(W237=[9]Listas!$F$53,W237=[9]Listas!$F$54),[9]Listas!$G$53,IF(W237=[9]Listas!$F$55,[9]Listas!$G$55,""))</f>
        <v>Probabilidad</v>
      </c>
      <c r="Z237" s="331" t="s">
        <v>43</v>
      </c>
      <c r="AA237" s="182">
        <f>+IF(Z237=[9]Listas!$E$46,[9]Listas!$F$46,IF(Z237=[9]Listas!$E$47,[9]Listas!$F$47,""))</f>
        <v>0.15</v>
      </c>
      <c r="AB237" s="183">
        <f t="shared" si="33"/>
        <v>0.4</v>
      </c>
      <c r="AC237" s="319" t="s">
        <v>57</v>
      </c>
      <c r="AD237" s="319" t="s">
        <v>58</v>
      </c>
      <c r="AE237" s="323" t="s">
        <v>59</v>
      </c>
      <c r="AF237" s="305" t="str">
        <f t="shared" si="28"/>
        <v>Muy baja</v>
      </c>
      <c r="AG237" s="145">
        <f>IF(Y237=[9]Listas!$G$53,AG236-(AG236*AB237),AG236)</f>
        <v>0.10584</v>
      </c>
      <c r="AH237" s="562"/>
      <c r="AI237" s="305" t="str">
        <f t="shared" si="30"/>
        <v>Moderado</v>
      </c>
      <c r="AJ237" s="145">
        <f>IF(Y237=[9]Listas!$G$55,AJ236-(AJ236*AB237),AJ236)</f>
        <v>0.44999999999999996</v>
      </c>
      <c r="AK237" s="562"/>
      <c r="AL237" s="565"/>
      <c r="AM237" s="565"/>
      <c r="AN237" s="565"/>
      <c r="AO237" s="568"/>
      <c r="AP237" s="571"/>
      <c r="AQ237" s="344"/>
      <c r="AR237" s="191"/>
    </row>
    <row r="238" spans="2:44" ht="54" customHeight="1" thickTop="1" thickBot="1" x14ac:dyDescent="0.4">
      <c r="B238" s="870"/>
      <c r="C238" s="560"/>
      <c r="D238" s="745"/>
      <c r="E238" s="577"/>
      <c r="F238" s="625"/>
      <c r="G238" s="628"/>
      <c r="H238" s="628"/>
      <c r="I238" s="589"/>
      <c r="J238" s="589"/>
      <c r="K238" s="592"/>
      <c r="L238" s="589"/>
      <c r="M238" s="595"/>
      <c r="N238" s="598"/>
      <c r="O238" s="601"/>
      <c r="P238" s="595"/>
      <c r="Q238" s="604"/>
      <c r="R238" s="601"/>
      <c r="S238" s="289"/>
      <c r="T238" s="604"/>
      <c r="U238" s="212" t="s">
        <v>215</v>
      </c>
      <c r="V238" s="444" t="s">
        <v>423</v>
      </c>
      <c r="W238" s="331" t="s">
        <v>44</v>
      </c>
      <c r="X238" s="320">
        <f>IF(W238=[9]Listas!$B$46,[9]Listas!$C$46,IF(W238=[9]Listas!$B$47,[9]Listas!$C$47,IF(W238=[9]Listas!$B$48,[9]Listas!$C$48,"")))</f>
        <v>0.1</v>
      </c>
      <c r="Y238" s="321" t="str">
        <f>IF(OR(W238=[9]Listas!$F$53,W238=[9]Listas!$F$54),[9]Listas!$G$53,IF(W238=[9]Listas!$F$55,[9]Listas!$G$55,""))</f>
        <v>Impacto</v>
      </c>
      <c r="Z238" s="331" t="s">
        <v>43</v>
      </c>
      <c r="AA238" s="182">
        <f>+IF(Z238=[9]Listas!$E$46,[9]Listas!$F$46,IF(Z238=[9]Listas!$E$47,[9]Listas!$F$47,""))</f>
        <v>0.15</v>
      </c>
      <c r="AB238" s="183">
        <f t="shared" si="33"/>
        <v>0.25</v>
      </c>
      <c r="AC238" s="319" t="s">
        <v>57</v>
      </c>
      <c r="AD238" s="319" t="s">
        <v>58</v>
      </c>
      <c r="AE238" s="323" t="s">
        <v>59</v>
      </c>
      <c r="AF238" s="305" t="str">
        <f t="shared" si="28"/>
        <v>Muy baja</v>
      </c>
      <c r="AG238" s="145">
        <f>IF(Y238=[9]Listas!$G$53,AG237-(AG237*AB238),AG237)</f>
        <v>0.10584</v>
      </c>
      <c r="AH238" s="562"/>
      <c r="AI238" s="305" t="str">
        <f t="shared" si="30"/>
        <v>Menor</v>
      </c>
      <c r="AJ238" s="145">
        <f>IF(Y238=[9]Listas!$G$55,AJ237-(AJ237*AB238),AJ237)</f>
        <v>0.33749999999999997</v>
      </c>
      <c r="AK238" s="562"/>
      <c r="AL238" s="565"/>
      <c r="AM238" s="565"/>
      <c r="AN238" s="565"/>
      <c r="AO238" s="568"/>
      <c r="AP238" s="571"/>
      <c r="AQ238" s="345"/>
      <c r="AR238" s="191"/>
    </row>
    <row r="239" spans="2:44" ht="27.75" customHeight="1" thickTop="1" thickBot="1" x14ac:dyDescent="0.4">
      <c r="B239" s="870"/>
      <c r="C239" s="560"/>
      <c r="D239" s="745"/>
      <c r="E239" s="577"/>
      <c r="F239" s="625"/>
      <c r="G239" s="628"/>
      <c r="H239" s="628"/>
      <c r="I239" s="589"/>
      <c r="J239" s="589"/>
      <c r="K239" s="592"/>
      <c r="L239" s="589"/>
      <c r="M239" s="595"/>
      <c r="N239" s="598"/>
      <c r="O239" s="601"/>
      <c r="P239" s="595"/>
      <c r="Q239" s="604"/>
      <c r="R239" s="601"/>
      <c r="S239" s="289"/>
      <c r="T239" s="604"/>
      <c r="U239" s="212" t="s">
        <v>220</v>
      </c>
      <c r="V239" s="443" t="s">
        <v>424</v>
      </c>
      <c r="W239" s="331" t="s">
        <v>40</v>
      </c>
      <c r="X239" s="320">
        <f>IF(W239=[9]Listas!$B$46,[9]Listas!$C$46,IF(W239=[9]Listas!$B$47,[9]Listas!$C$47,IF(W239=[9]Listas!$B$48,[9]Listas!$C$48,"")))</f>
        <v>0.25</v>
      </c>
      <c r="Y239" s="321" t="str">
        <f>IF(OR(W239=[9]Listas!$F$53,W239=[9]Listas!$F$54),[9]Listas!$G$53,IF(W239=[9]Listas!$F$55,[9]Listas!$G$55,""))</f>
        <v>Probabilidad</v>
      </c>
      <c r="Z239" s="331" t="s">
        <v>43</v>
      </c>
      <c r="AA239" s="182">
        <f>+IF(Z239=[9]Listas!$E$46,[9]Listas!$F$46,IF(Z239=[9]Listas!$E$47,[9]Listas!$F$47,""))</f>
        <v>0.15</v>
      </c>
      <c r="AB239" s="183">
        <f t="shared" si="33"/>
        <v>0.4</v>
      </c>
      <c r="AC239" s="319" t="s">
        <v>57</v>
      </c>
      <c r="AD239" s="319" t="s">
        <v>58</v>
      </c>
      <c r="AE239" s="323" t="s">
        <v>59</v>
      </c>
      <c r="AF239" s="305" t="str">
        <f t="shared" si="28"/>
        <v>Muy baja</v>
      </c>
      <c r="AG239" s="145">
        <f>IF(Y239=[9]Listas!$G$53,AG238-(AG238*AB239),AG238)</f>
        <v>6.3504000000000005E-2</v>
      </c>
      <c r="AH239" s="562"/>
      <c r="AI239" s="305" t="str">
        <f t="shared" si="30"/>
        <v>Menor</v>
      </c>
      <c r="AJ239" s="145">
        <f>IF(Y239=[9]Listas!$G$55,AJ238-(AJ238*AB239),AJ238)</f>
        <v>0.33749999999999997</v>
      </c>
      <c r="AK239" s="562"/>
      <c r="AL239" s="565"/>
      <c r="AM239" s="565"/>
      <c r="AN239" s="565"/>
      <c r="AO239" s="568"/>
      <c r="AP239" s="571"/>
      <c r="AQ239" s="343"/>
      <c r="AR239" s="191"/>
    </row>
    <row r="240" spans="2:44" ht="15" hidden="1" customHeight="1" x14ac:dyDescent="0.35">
      <c r="B240" s="870"/>
      <c r="C240" s="560"/>
      <c r="D240" s="745"/>
      <c r="E240" s="577"/>
      <c r="F240" s="625"/>
      <c r="G240" s="628"/>
      <c r="H240" s="628"/>
      <c r="I240" s="589"/>
      <c r="J240" s="589"/>
      <c r="K240" s="592"/>
      <c r="L240" s="589"/>
      <c r="M240" s="595"/>
      <c r="N240" s="598"/>
      <c r="O240" s="601"/>
      <c r="P240" s="595"/>
      <c r="Q240" s="604"/>
      <c r="R240" s="601"/>
      <c r="S240" s="289"/>
      <c r="T240" s="604"/>
      <c r="U240" s="142" t="s">
        <v>223</v>
      </c>
      <c r="V240" s="445"/>
      <c r="W240" s="331"/>
      <c r="X240" s="320" t="str">
        <f>IF(W240=[9]Listas!$B$46,[9]Listas!$C$46,IF(W240=[9]Listas!$B$47,[9]Listas!$C$47,IF(W240=[9]Listas!$B$48,[9]Listas!$C$48,"")))</f>
        <v/>
      </c>
      <c r="Y240" s="321" t="str">
        <f>IF(OR(W240=[9]Listas!$F$53,W240=[9]Listas!$F$54),[9]Listas!$G$53,IF(W240=[9]Listas!$F$55,[9]Listas!$G$55,""))</f>
        <v/>
      </c>
      <c r="Z240" s="331"/>
      <c r="AA240" s="182" t="str">
        <f>+IF(Z240=[9]Listas!$E$46,[9]Listas!$F$46,IF(Z240=[9]Listas!$E$47,[9]Listas!$F$47,""))</f>
        <v/>
      </c>
      <c r="AB240" s="183" t="str">
        <f t="shared" si="33"/>
        <v/>
      </c>
      <c r="AC240" s="319"/>
      <c r="AD240" s="322"/>
      <c r="AE240" s="323"/>
      <c r="AF240" s="305" t="str">
        <f t="shared" si="28"/>
        <v>Muy baja</v>
      </c>
      <c r="AG240" s="145">
        <f>IF(Y240=[9]Listas!$G$53,AG239-(AG239*AB240),AG239)</f>
        <v>6.3504000000000005E-2</v>
      </c>
      <c r="AH240" s="562"/>
      <c r="AI240" s="305" t="str">
        <f t="shared" si="30"/>
        <v>Menor</v>
      </c>
      <c r="AJ240" s="145">
        <f>IF(Y240=[9]Listas!$G$55,AJ239-(AJ239*AB240),AJ239)</f>
        <v>0.33749999999999997</v>
      </c>
      <c r="AK240" s="562"/>
      <c r="AL240" s="565"/>
      <c r="AM240" s="565"/>
      <c r="AN240" s="565"/>
      <c r="AO240" s="568"/>
      <c r="AP240" s="571"/>
      <c r="AQ240" s="344"/>
      <c r="AR240" s="191"/>
    </row>
    <row r="241" spans="2:44" ht="15.75" hidden="1" customHeight="1" thickTop="1" x14ac:dyDescent="0.35">
      <c r="B241" s="870"/>
      <c r="C241" s="560"/>
      <c r="D241" s="745"/>
      <c r="E241" s="577"/>
      <c r="F241" s="625"/>
      <c r="G241" s="628"/>
      <c r="H241" s="628"/>
      <c r="I241" s="589"/>
      <c r="J241" s="589"/>
      <c r="K241" s="592"/>
      <c r="L241" s="589"/>
      <c r="M241" s="595"/>
      <c r="N241" s="659"/>
      <c r="O241" s="601"/>
      <c r="P241" s="595"/>
      <c r="Q241" s="660"/>
      <c r="R241" s="601"/>
      <c r="S241" s="289"/>
      <c r="T241" s="660"/>
      <c r="U241" s="213" t="s">
        <v>224</v>
      </c>
      <c r="V241" s="446"/>
      <c r="W241" s="353"/>
      <c r="X241" s="354" t="str">
        <f>IF(W241=[9]Listas!$B$46,[9]Listas!$C$46,IF(W241=[9]Listas!$B$47,[9]Listas!$C$47,IF(W241=[9]Listas!$B$48,[9]Listas!$C$48,"")))</f>
        <v/>
      </c>
      <c r="Y241" s="355" t="str">
        <f>IF(OR(W241=[9]Listas!$F$53,W241=[9]Listas!$F$54),[9]Listas!$G$53,IF(W241=[9]Listas!$F$55,[9]Listas!$G$55,""))</f>
        <v/>
      </c>
      <c r="Z241" s="353"/>
      <c r="AA241" s="214" t="str">
        <f>+IF(Z241=[9]Listas!$E$46,[9]Listas!$F$46,IF(Z241=[9]Listas!$E$47,[9]Listas!$F$47,""))</f>
        <v/>
      </c>
      <c r="AB241" s="215" t="str">
        <f t="shared" si="33"/>
        <v/>
      </c>
      <c r="AC241" s="325"/>
      <c r="AD241" s="326"/>
      <c r="AE241" s="327"/>
      <c r="AF241" s="352" t="str">
        <f t="shared" si="28"/>
        <v>Muy baja</v>
      </c>
      <c r="AG241" s="205">
        <f>IF(Y241=[9]Listas!$G$53,AG240-(AG240*AB241),AG240)</f>
        <v>6.3504000000000005E-2</v>
      </c>
      <c r="AH241" s="657"/>
      <c r="AI241" s="352" t="str">
        <f t="shared" si="30"/>
        <v>Menor</v>
      </c>
      <c r="AJ241" s="205">
        <f>IF(Y241=[9]Listas!$G$55,AJ240-(AJ240*AB241),AJ240)</f>
        <v>0.33749999999999997</v>
      </c>
      <c r="AK241" s="657"/>
      <c r="AL241" s="658"/>
      <c r="AM241" s="658"/>
      <c r="AN241" s="658"/>
      <c r="AO241" s="661"/>
      <c r="AP241" s="571"/>
      <c r="AQ241" s="345"/>
      <c r="AR241" s="197"/>
    </row>
    <row r="242" spans="2:44" ht="72.75" customHeight="1" thickTop="1" thickBot="1" x14ac:dyDescent="0.4">
      <c r="B242" s="870"/>
      <c r="C242" s="560"/>
      <c r="D242" s="609" t="s">
        <v>425</v>
      </c>
      <c r="E242" s="576" t="s">
        <v>5</v>
      </c>
      <c r="F242" s="624" t="s">
        <v>426</v>
      </c>
      <c r="G242" s="627" t="s">
        <v>427</v>
      </c>
      <c r="H242" s="627" t="s">
        <v>428</v>
      </c>
      <c r="I242" s="588" t="s">
        <v>28</v>
      </c>
      <c r="J242" s="588" t="s">
        <v>22</v>
      </c>
      <c r="K242" s="591" t="s">
        <v>429</v>
      </c>
      <c r="L242" s="588" t="s">
        <v>186</v>
      </c>
      <c r="M242" s="594" t="s">
        <v>222</v>
      </c>
      <c r="N242" s="597" t="str">
        <f>+IF(M242="","",IF(M242=$BO$15,$BN$15,IF(M242=$BO$16,$BN$16,IF(M242=$BO$17,$BN$17,IF(M242=$BO$18,$BN$18,IF(M242=$BO$19,$BN$19))))))</f>
        <v>Muy Alta</v>
      </c>
      <c r="O242" s="600">
        <f>+IF(M242="","",IF(M242=$BO$15,$BR$15,IF(M242=$BO$16,$BR$16,IF(M242=$BO$17,$BR$17,IF(M242=$BO$18,$BR$18,IF(M242=$BO$19,$BR$19))))))</f>
        <v>1</v>
      </c>
      <c r="P242" s="594" t="s">
        <v>195</v>
      </c>
      <c r="Q242" s="603" t="str">
        <f>+IF(P242="","",IF(P242='[9]Mapa de Calor inherente'!$AF$6,'[9]Mapa de Calor inherente'!$AD$6,IF(P242='[9]Mapa de Calor inherente'!$AF$7,'[9]Mapa de Calor inherente'!$AD$7,IF(P242='[9]Mapa de Calor inherente'!$AF$8,'[9]Mapa de Calor inherente'!$AD$8,IF(P242='[9]Mapa de Calor inherente'!$AF$9,'[9]Mapa de Calor inherente'!$AD$9,IF(P242='[9]Mapa de Calor inherente'!$AF$10,'[9]Mapa de Calor inherente'!$AD$10,IF(P242='[9]Mapa de Calor inherente'!$AG$6,'[9]Mapa de Calor inherente'!$AD$6,IF(P242='[9]Mapa de Calor inherente'!$AG$7,'[9]Mapa de Calor inherente'!$AD$7,IF(P242='[9]Mapa de Calor inherente'!$AG$8,'[9]Mapa de Calor inherente'!$AD$8,IF(P242='[9]Mapa de Calor inherente'!$AG$9,'[9]Mapa de Calor inherente'!$AD$9,IF(P242='[9]Mapa de Calor inherente'!$AG$10,'[9]Mapa de Calor inherente'!$AD$10,IF(P242='[9]Mapa de Calor inherente'!$AD$8,'[9]Mapa de Calor inherente'!$AD$8,IF(P242='[9]Mapa de Calor inherente'!$AD$9,'[9]Mapa de Calor inherente'!$AD$9,IF(P242='[9]Mapa de Calor inherente'!$AD$10,'[9]Mapa de Calor inherente'!$AD$10))))))))))))))</f>
        <v>Leve</v>
      </c>
      <c r="R242" s="600">
        <f>+IF(P242="","",IF(P242='[9]Mapa de Calor inherente'!$AF$6,'[9]Mapa de Calor inherente'!$AE$6,IF(P242='[9]Mapa de Calor inherente'!$AF$7,'[9]Mapa de Calor inherente'!$AE$7,IF(P242='[9]Mapa de Calor inherente'!$AF$8,'[9]Mapa de Calor inherente'!$AE$8,IF(P242='[9]Mapa de Calor inherente'!$AF$9,'[9]Mapa de Calor inherente'!$AE$9,IF(P242='[9]Mapa de Calor inherente'!$AF$10,'[9]Mapa de Calor inherente'!$AE$10,IF(P242='[9]Mapa de Calor inherente'!$AG$6,'[9]Mapa de Calor inherente'!$AE$6,IF(P242='[9]Mapa de Calor inherente'!$AG$7,'[9]Mapa de Calor inherente'!$AE$7,IF(P242='[9]Mapa de Calor inherente'!$AG$8,'[9]Mapa de Calor inherente'!$AE$8,IF(P242='[9]Mapa de Calor inherente'!$AG$9,'[9]Mapa de Calor inherente'!$AE$9,IF(P242='[9]Mapa de Calor inherente'!$AG$10,'[9]Mapa de Calor inherente'!$AE$10,IF(P242='[9]Mapa de Calor inherente'!$AD$8,'[9]Mapa de Calor inherente'!$AE$8,IF(P242='[9]Mapa de Calor inherente'!$AD$9,'[9]Mapa de Calor inherente'!$AE$9,IF(P242='[9]Mapa de Calor inherente'!$AD$10,'[9]Mapa de Calor inherente'!$AE$10))))))))))))))</f>
        <v>0.2</v>
      </c>
      <c r="S242" s="292"/>
      <c r="T242" s="603" t="str">
        <f>+IF(N242=$BB$17,IF(Q242=$BC$16,$BC$17,IF(Q242=$BD$16,$BD$17,IF(Q242=$BE$16,$BE$17,IF(Q242=$BF$16,$BF$17,IF(Q242=$BG$16,$BG$17))))),IF(N242=$BB$18,IF(Q242=$BC$16,$BC$18,IF(Q242=$BD$16,$BD$18,IF(Q242=$BE$16,$BE$18,IF(Q242=$BF$16,$BF$18,IF(Q242=$BG$16,$BG$18))))),IF(N242=$BB$19,IF(Q242=$BC$16,$BC$19,IF(Q242=$BD$16,$BD$19,IF(Q242=$BE$16,$BE$19,IF(Q242=$BF$16,$BF$19,IF(Q242=$BG$16,$BG$19))))),IF(N242=$BB$20,IF(Q242=$BC$16,$BC$20,IF(Q242=$BD$16,$BD$20,IF(Q242=$BE$16,$BE$20,IF(Q242=$BF$16,$BF$20,IF(Q242=$BG$16,$BG$20))))),IF(N242=$BB$21,IF(Q242=$BC$16,$BC$21,IF(Q242=$BD$16,$BD$21,IF(Q242=$BE$16,$BE$21,IF(Q242=$BF$16,$BF$21,IF(Q242=$BG$16,$BG$21))))),"")))))</f>
        <v>Alto</v>
      </c>
      <c r="U242" s="139" t="s">
        <v>171</v>
      </c>
      <c r="V242" s="447" t="s">
        <v>430</v>
      </c>
      <c r="W242" s="313" t="s">
        <v>40</v>
      </c>
      <c r="X242" s="314">
        <f>IF(W242=[9]Listas!$B$46,[9]Listas!$C$46,IF(W242=[9]Listas!$B$47,[9]Listas!$C$47,IF(W242=[9]Listas!$B$48,[9]Listas!$C$48,"")))</f>
        <v>0.25</v>
      </c>
      <c r="Y242" s="315" t="str">
        <f>IF(OR(W242=[9]Listas!$F$53,W242=[9]Listas!$F$54),[9]Listas!$G$53,IF(W242=[9]Listas!$F$55,[9]Listas!$G$55,""))</f>
        <v>Probabilidad</v>
      </c>
      <c r="Z242" s="313" t="s">
        <v>43</v>
      </c>
      <c r="AA242" s="314">
        <f>+IF(Z242=[9]Listas!$E$46,[9]Listas!$F$46,IF(Z242=[9]Listas!$E$47,[9]Listas!$F$47,""))</f>
        <v>0.15</v>
      </c>
      <c r="AB242" s="181">
        <f>IFERROR(X242+AA242,"")</f>
        <v>0.4</v>
      </c>
      <c r="AC242" s="313" t="s">
        <v>57</v>
      </c>
      <c r="AD242" s="316" t="s">
        <v>58</v>
      </c>
      <c r="AE242" s="317" t="s">
        <v>59</v>
      </c>
      <c r="AF242" s="299" t="str">
        <f t="shared" si="28"/>
        <v>Media</v>
      </c>
      <c r="AG242" s="141">
        <f>IF(Y242=[9]Listas!$G$53,O242-(O242*AB242),O242)</f>
        <v>0.6</v>
      </c>
      <c r="AH242" s="561">
        <f>+IF(AG251="","",AG251)</f>
        <v>0.216</v>
      </c>
      <c r="AI242" s="299" t="str">
        <f>IF(AJ242="","",IF(AJ242&lt;=20%,"Leve",IF(AJ242&lt;=40%,"Menor",IF(AJ242&lt;=60%,"Moderado",IF(AJ242&lt;=80%,"Mayor","Catastrófico")))))</f>
        <v>Leve</v>
      </c>
      <c r="AJ242" s="141">
        <f>IF(Y242=[9]Listas!$G$55,R242-(R242*AB242),R242)</f>
        <v>0.2</v>
      </c>
      <c r="AK242" s="561">
        <f>+IF(AJ251="","",AJ251)</f>
        <v>0.2</v>
      </c>
      <c r="AL242" s="564" t="str">
        <f>+IF(AH242=0,"",IF(AH242&lt;=$BA$21,$BB$21,IF(AH242&lt;=$BA$20,$BB$20,IF(AH242&lt;=$BA$19,$BB$19,IF(AH242&lt;=$BA$18,$BB$18,IF(AH242&lt;=$BA$17,$BB$17,""))))))</f>
        <v>Baja</v>
      </c>
      <c r="AM242" s="564" t="str">
        <f>+IF(AK242=0,"",IF(AK242&lt;=$BC$15,$BC$16,IF(AK242&lt;=$BD$15,$BD$16,IF(AK242&lt;=$BE$15,$BE$16,IF(AK242&lt;=$BF$15,$BF$16,IF(AK242&lt;=$BG$15,$BG$16,""))))))</f>
        <v>Leve</v>
      </c>
      <c r="AN242" s="564" t="str">
        <f>IF(AL242=$BB$17,IF(AM242=$BC$16,$BC$17,IF(AM242=$BD$16,$BD$17,IF(AM242=$BE$16,$BE$17,IF(AM242=$BF$16,$BF$17,IF(AM242=$BG$16,$BG$17))))),IF(AL242=$BB$18,IF(AM242=$BC$16,$BC$18,IF(AM242=$BD$16,$BD$18,IF(AM242=$BE$16,$BE$18,IF(AM242=$BF$16,$BF$18,IF(AM242=$BG$16,$BG$18))))),IF(AL242=$BB$19,IF(AM242=$BC$16,$BC$19,IF(AM242=$BD$16,$BD$19,IF(AM242=$BE$16,$BE$19,IF(AM242=$BF$16,$BF$19,IF(AM242=$BG$16,$BG$19))))),IF(AL242=$BB$20,IF(AM242=$BC$16,$BC$20,IF(AM242=$BD$16,$BD$20,IF(AM242=$BE$16,$BE$20,IF(AM242=$BF$16,$BF$20,IF(AM242=$BG$16,$BG$20))))),IF(AL242=$BB$21,IF(AM242=$BC$16,$BC$21,IF(AM242=$BD$16,$BD$21,IF(AM242=$BE$16,$BE$21,IF(AM242=$BF$16,$BF$21,IF(AM242=$BG$16,$BG$21))))),"")))))</f>
        <v>Bajo</v>
      </c>
      <c r="AO242" s="567" t="str">
        <f>IF(AP242="","",IF(AP242=[9]Listas!$F$61,[9]Listas!$G$61,IF(AP242=[9]Listas!$F$63,[9]Listas!$G$63,IF(AP242=[9]Listas!$F$64,[9]Listas!$G$64))))</f>
        <v>No requiere Plan de Acción</v>
      </c>
      <c r="AP242" s="570" t="str">
        <f>IF(AN242="","",IF(OR(AN242=[9]Listas!$E$61,AN242=[9]Listas!$E$62),[9]Listas!$F$61,IF(AN242=[9]Listas!$E$63,[9]Listas!$F$63,IF(AN242=[9]Listas!$E$64,[9]Listas!$F$64))))</f>
        <v>Aceptar  el riesgo</v>
      </c>
      <c r="AQ242" s="342" t="s">
        <v>90</v>
      </c>
      <c r="AR242" s="211" t="s">
        <v>400</v>
      </c>
    </row>
    <row r="243" spans="2:44" ht="73.5" customHeight="1" thickTop="1" thickBot="1" x14ac:dyDescent="0.4">
      <c r="B243" s="870"/>
      <c r="C243" s="560"/>
      <c r="D243" s="610"/>
      <c r="E243" s="577"/>
      <c r="F243" s="625"/>
      <c r="G243" s="628"/>
      <c r="H243" s="628"/>
      <c r="I243" s="589"/>
      <c r="J243" s="589"/>
      <c r="K243" s="592"/>
      <c r="L243" s="589"/>
      <c r="M243" s="595"/>
      <c r="N243" s="598"/>
      <c r="O243" s="601"/>
      <c r="P243" s="595"/>
      <c r="Q243" s="604"/>
      <c r="R243" s="601"/>
      <c r="S243" s="286"/>
      <c r="T243" s="604"/>
      <c r="U243" s="142" t="s">
        <v>174</v>
      </c>
      <c r="V243" s="448" t="s">
        <v>431</v>
      </c>
      <c r="W243" s="319" t="s">
        <v>40</v>
      </c>
      <c r="X243" s="320">
        <f>IF(W243=[9]Listas!$B$46,[9]Listas!$C$46,IF(W243=[9]Listas!$B$47,[9]Listas!$C$47,IF(W243=[9]Listas!$B$48,[9]Listas!$C$48,"")))</f>
        <v>0.25</v>
      </c>
      <c r="Y243" s="321" t="str">
        <f>IF(OR(W243=[9]Listas!$F$53,W243=[9]Listas!$F$54),[9]Listas!$G$53,IF(W243=[9]Listas!$F$55,[9]Listas!$G$55,""))</f>
        <v>Probabilidad</v>
      </c>
      <c r="Z243" s="319" t="s">
        <v>43</v>
      </c>
      <c r="AA243" s="182">
        <f>+IF(Z243=[9]Listas!$E$46,[9]Listas!$F$46,IF(Z243=[9]Listas!$E$47,[9]Listas!$F$47,""))</f>
        <v>0.15</v>
      </c>
      <c r="AB243" s="183">
        <f>IFERROR(X243+AA243,"")</f>
        <v>0.4</v>
      </c>
      <c r="AC243" s="319" t="s">
        <v>57</v>
      </c>
      <c r="AD243" s="322" t="s">
        <v>58</v>
      </c>
      <c r="AE243" s="323" t="s">
        <v>59</v>
      </c>
      <c r="AF243" s="305" t="str">
        <f t="shared" si="28"/>
        <v>Baja</v>
      </c>
      <c r="AG243" s="145">
        <f>IF(Y243=[9]Listas!$G$53,AG242-(AG242*AB243),AG242)</f>
        <v>0.36</v>
      </c>
      <c r="AH243" s="562"/>
      <c r="AI243" s="305" t="str">
        <f t="shared" si="30"/>
        <v>Leve</v>
      </c>
      <c r="AJ243" s="145">
        <f>IF(Y243=[9]Listas!$G$55,AJ242-(AJ242*AB243),AJ242)</f>
        <v>0.2</v>
      </c>
      <c r="AK243" s="562"/>
      <c r="AL243" s="565"/>
      <c r="AM243" s="565"/>
      <c r="AN243" s="565"/>
      <c r="AO243" s="568"/>
      <c r="AP243" s="571"/>
      <c r="AQ243" s="356"/>
      <c r="AR243" s="191"/>
    </row>
    <row r="244" spans="2:44" ht="38.25" customHeight="1" thickTop="1" thickBot="1" x14ac:dyDescent="0.4">
      <c r="B244" s="870"/>
      <c r="C244" s="560"/>
      <c r="D244" s="610"/>
      <c r="E244" s="577"/>
      <c r="F244" s="625"/>
      <c r="G244" s="628"/>
      <c r="H244" s="628"/>
      <c r="I244" s="589"/>
      <c r="J244" s="589"/>
      <c r="K244" s="592"/>
      <c r="L244" s="589"/>
      <c r="M244" s="595"/>
      <c r="N244" s="598"/>
      <c r="O244" s="601"/>
      <c r="P244" s="595"/>
      <c r="Q244" s="604"/>
      <c r="R244" s="601"/>
      <c r="S244" s="287"/>
      <c r="T244" s="604"/>
      <c r="U244" s="142" t="s">
        <v>180</v>
      </c>
      <c r="V244" s="438" t="s">
        <v>432</v>
      </c>
      <c r="W244" s="319" t="s">
        <v>42</v>
      </c>
      <c r="X244" s="320">
        <f>IF(W244=[9]Listas!$B$46,[9]Listas!$C$46,IF(W244=[9]Listas!$B$47,[9]Listas!$C$47,IF(W244=[9]Listas!$B$48,[9]Listas!$C$48,"")))</f>
        <v>0.15</v>
      </c>
      <c r="Y244" s="321" t="str">
        <f>IF(OR(W244=[9]Listas!$F$53,W244=[9]Listas!$F$54),[9]Listas!$G$53,IF(W244=[9]Listas!$F$55,[9]Listas!$G$55,""))</f>
        <v>Probabilidad</v>
      </c>
      <c r="Z244" s="319" t="s">
        <v>41</v>
      </c>
      <c r="AA244" s="182">
        <f>+IF(Z244=[9]Listas!$E$46,[9]Listas!$F$46,IF(Z244=[9]Listas!$E$47,[9]Listas!$F$47,""))</f>
        <v>0.25</v>
      </c>
      <c r="AB244" s="183">
        <f>IFERROR(X244+AA244,"")</f>
        <v>0.4</v>
      </c>
      <c r="AC244" s="319" t="s">
        <v>57</v>
      </c>
      <c r="AD244" s="322" t="s">
        <v>58</v>
      </c>
      <c r="AE244" s="323" t="s">
        <v>59</v>
      </c>
      <c r="AF244" s="305" t="str">
        <f t="shared" si="28"/>
        <v>Baja</v>
      </c>
      <c r="AG244" s="145">
        <f>IF(Y244=[9]Listas!$G$53,AG243-(AG243*AB244),AG243)</f>
        <v>0.216</v>
      </c>
      <c r="AH244" s="562"/>
      <c r="AI244" s="305" t="str">
        <f t="shared" si="30"/>
        <v>Leve</v>
      </c>
      <c r="AJ244" s="145">
        <f>IF(Y244=[9]Listas!$G$55,AJ243-(AJ243*AB244),AJ243)</f>
        <v>0.2</v>
      </c>
      <c r="AK244" s="562"/>
      <c r="AL244" s="565"/>
      <c r="AM244" s="565"/>
      <c r="AN244" s="565"/>
      <c r="AO244" s="568"/>
      <c r="AP244" s="571"/>
      <c r="AQ244" s="306"/>
      <c r="AR244" s="191"/>
    </row>
    <row r="245" spans="2:44" ht="15.65" hidden="1" customHeight="1" x14ac:dyDescent="0.35">
      <c r="B245" s="870"/>
      <c r="C245" s="560"/>
      <c r="D245" s="610"/>
      <c r="E245" s="577"/>
      <c r="F245" s="625"/>
      <c r="G245" s="628"/>
      <c r="H245" s="628"/>
      <c r="I245" s="589"/>
      <c r="J245" s="589"/>
      <c r="K245" s="592"/>
      <c r="L245" s="589"/>
      <c r="M245" s="595"/>
      <c r="N245" s="598"/>
      <c r="O245" s="601"/>
      <c r="P245" s="595"/>
      <c r="Q245" s="604"/>
      <c r="R245" s="601"/>
      <c r="S245" s="287"/>
      <c r="T245" s="604"/>
      <c r="U245" s="142" t="s">
        <v>190</v>
      </c>
      <c r="V245" s="415"/>
      <c r="W245" s="319"/>
      <c r="X245" s="320" t="str">
        <f>IF(W245=[9]Listas!$B$46,[9]Listas!$C$46,IF(W245=[9]Listas!$B$47,[9]Listas!$C$47,IF(W245=[9]Listas!$B$48,[9]Listas!$C$48,"")))</f>
        <v/>
      </c>
      <c r="Y245" s="321" t="str">
        <f>IF(OR(W245=[9]Listas!$F$53,W245=[9]Listas!$F$54),[9]Listas!$G$53,IF(W245=[9]Listas!$F$55,[9]Listas!$G$55,""))</f>
        <v/>
      </c>
      <c r="Z245" s="319"/>
      <c r="AA245" s="182" t="str">
        <f>+IF(Z245=[9]Listas!$E$46,[9]Listas!$F$46,IF(Z245=[9]Listas!$E$47,[9]Listas!$F$47,""))</f>
        <v/>
      </c>
      <c r="AB245" s="183" t="str">
        <f t="shared" ref="AB245:AB251" si="34">IFERROR(X245+AA245,"")</f>
        <v/>
      </c>
      <c r="AC245" s="319"/>
      <c r="AD245" s="322"/>
      <c r="AE245" s="323"/>
      <c r="AF245" s="305" t="str">
        <f t="shared" si="28"/>
        <v>Baja</v>
      </c>
      <c r="AG245" s="145">
        <f>IF(Y245=[9]Listas!$G$53,AG244-(AG244*AB245),AG244)</f>
        <v>0.216</v>
      </c>
      <c r="AH245" s="562"/>
      <c r="AI245" s="305" t="str">
        <f t="shared" si="30"/>
        <v>Leve</v>
      </c>
      <c r="AJ245" s="145">
        <f>IF(Y245=[9]Listas!$G$55,AJ244-(AJ244*AB245),AJ244)</f>
        <v>0.2</v>
      </c>
      <c r="AK245" s="562"/>
      <c r="AL245" s="565"/>
      <c r="AM245" s="565"/>
      <c r="AN245" s="565"/>
      <c r="AO245" s="568"/>
      <c r="AP245" s="571"/>
      <c r="AQ245" s="306"/>
      <c r="AR245" s="191"/>
    </row>
    <row r="246" spans="2:44" ht="15.65" hidden="1" customHeight="1" x14ac:dyDescent="0.35">
      <c r="B246" s="870"/>
      <c r="C246" s="560"/>
      <c r="D246" s="610"/>
      <c r="E246" s="577"/>
      <c r="F246" s="625"/>
      <c r="G246" s="628"/>
      <c r="H246" s="628"/>
      <c r="I246" s="589"/>
      <c r="J246" s="589"/>
      <c r="K246" s="592"/>
      <c r="L246" s="589"/>
      <c r="M246" s="595"/>
      <c r="N246" s="598"/>
      <c r="O246" s="601"/>
      <c r="P246" s="595"/>
      <c r="Q246" s="604"/>
      <c r="R246" s="601"/>
      <c r="S246" s="287"/>
      <c r="T246" s="604"/>
      <c r="U246" s="142" t="s">
        <v>198</v>
      </c>
      <c r="V246" s="415"/>
      <c r="W246" s="319"/>
      <c r="X246" s="320" t="str">
        <f>IF(W246=[9]Listas!$B$46,[9]Listas!$C$46,IF(W246=[9]Listas!$B$47,[9]Listas!$C$47,IF(W246=[9]Listas!$B$48,[9]Listas!$C$48,"")))</f>
        <v/>
      </c>
      <c r="Y246" s="321" t="str">
        <f>IF(OR(W246=[9]Listas!$F$53,W246=[9]Listas!$F$54),[9]Listas!$G$53,IF(W246=[9]Listas!$F$55,[9]Listas!$G$55,""))</f>
        <v/>
      </c>
      <c r="Z246" s="319"/>
      <c r="AA246" s="182" t="str">
        <f>+IF(Z246=[9]Listas!$E$46,[9]Listas!$F$46,IF(Z246=[9]Listas!$E$47,[9]Listas!$F$47,""))</f>
        <v/>
      </c>
      <c r="AB246" s="183" t="str">
        <f t="shared" si="34"/>
        <v/>
      </c>
      <c r="AC246" s="319"/>
      <c r="AD246" s="322"/>
      <c r="AE246" s="323"/>
      <c r="AF246" s="305" t="str">
        <f t="shared" si="28"/>
        <v>Baja</v>
      </c>
      <c r="AG246" s="145">
        <f>IF(Y246=[9]Listas!$G$53,AG245-(AG245*AB246),AG245)</f>
        <v>0.216</v>
      </c>
      <c r="AH246" s="562"/>
      <c r="AI246" s="305" t="str">
        <f t="shared" si="30"/>
        <v>Leve</v>
      </c>
      <c r="AJ246" s="145">
        <f>IF(Y246=[9]Listas!$G$55,AJ245-(AJ245*AB246),AJ245)</f>
        <v>0.2</v>
      </c>
      <c r="AK246" s="562"/>
      <c r="AL246" s="565"/>
      <c r="AM246" s="565"/>
      <c r="AN246" s="565"/>
      <c r="AO246" s="568"/>
      <c r="AP246" s="571"/>
      <c r="AQ246" s="306"/>
      <c r="AR246" s="191"/>
    </row>
    <row r="247" spans="2:44" ht="16" hidden="1" customHeight="1" thickTop="1" x14ac:dyDescent="0.35">
      <c r="B247" s="870"/>
      <c r="C247" s="560"/>
      <c r="D247" s="610"/>
      <c r="E247" s="577"/>
      <c r="F247" s="625"/>
      <c r="G247" s="628"/>
      <c r="H247" s="628"/>
      <c r="I247" s="589"/>
      <c r="J247" s="589"/>
      <c r="K247" s="592"/>
      <c r="L247" s="589"/>
      <c r="M247" s="595"/>
      <c r="N247" s="598"/>
      <c r="O247" s="601"/>
      <c r="P247" s="595"/>
      <c r="Q247" s="604"/>
      <c r="R247" s="601"/>
      <c r="S247" s="288"/>
      <c r="T247" s="604"/>
      <c r="U247" s="142" t="s">
        <v>208</v>
      </c>
      <c r="V247" s="415"/>
      <c r="W247" s="319"/>
      <c r="X247" s="320" t="str">
        <f>IF(W247=[9]Listas!$B$46,[9]Listas!$C$46,IF(W247=[9]Listas!$B$47,[9]Listas!$C$47,IF(W247=[9]Listas!$B$48,[9]Listas!$C$48,"")))</f>
        <v/>
      </c>
      <c r="Y247" s="321" t="str">
        <f>IF(OR(W247=[9]Listas!$F$53,W247=[9]Listas!$F$54),[9]Listas!$G$53,IF(W247=[9]Listas!$F$55,[9]Listas!$G$55,""))</f>
        <v/>
      </c>
      <c r="Z247" s="319"/>
      <c r="AA247" s="182" t="str">
        <f>+IF(Z247=[9]Listas!$E$46,[9]Listas!$F$46,IF(Z247=[9]Listas!$E$47,[9]Listas!$F$47,""))</f>
        <v/>
      </c>
      <c r="AB247" s="183" t="str">
        <f t="shared" si="34"/>
        <v/>
      </c>
      <c r="AC247" s="319"/>
      <c r="AD247" s="322"/>
      <c r="AE247" s="323"/>
      <c r="AF247" s="305" t="str">
        <f t="shared" si="28"/>
        <v>Baja</v>
      </c>
      <c r="AG247" s="145">
        <f>IF(Y247=[9]Listas!$G$53,AG246-(AG246*AB247),AG246)</f>
        <v>0.216</v>
      </c>
      <c r="AH247" s="562"/>
      <c r="AI247" s="305" t="str">
        <f t="shared" si="30"/>
        <v>Leve</v>
      </c>
      <c r="AJ247" s="145">
        <f>IF(Y247=[9]Listas!$G$55,AJ246-(AJ246*AB247),AJ246)</f>
        <v>0.2</v>
      </c>
      <c r="AK247" s="562"/>
      <c r="AL247" s="565"/>
      <c r="AM247" s="565"/>
      <c r="AN247" s="565"/>
      <c r="AO247" s="568"/>
      <c r="AP247" s="571"/>
      <c r="AQ247" s="306"/>
      <c r="AR247" s="191"/>
    </row>
    <row r="248" spans="2:44" ht="15.65" hidden="1" customHeight="1" thickTop="1" x14ac:dyDescent="0.35">
      <c r="B248" s="870"/>
      <c r="C248" s="560"/>
      <c r="D248" s="610"/>
      <c r="E248" s="577"/>
      <c r="F248" s="625"/>
      <c r="G248" s="628"/>
      <c r="H248" s="628"/>
      <c r="I248" s="589"/>
      <c r="J248" s="589"/>
      <c r="K248" s="592"/>
      <c r="L248" s="589"/>
      <c r="M248" s="595"/>
      <c r="N248" s="598"/>
      <c r="O248" s="601"/>
      <c r="P248" s="595"/>
      <c r="Q248" s="604"/>
      <c r="R248" s="601"/>
      <c r="S248" s="289"/>
      <c r="T248" s="604"/>
      <c r="U248" s="142" t="s">
        <v>215</v>
      </c>
      <c r="V248" s="418"/>
      <c r="W248" s="331"/>
      <c r="X248" s="320" t="str">
        <f>IF(W248=[9]Listas!$B$46,[9]Listas!$C$46,IF(W248=[9]Listas!$B$47,[9]Listas!$C$47,IF(W248=[9]Listas!$B$48,[9]Listas!$C$48,"")))</f>
        <v/>
      </c>
      <c r="Y248" s="321" t="str">
        <f>IF(OR(W248=[9]Listas!$F$53,W248=[9]Listas!$F$54),[9]Listas!$G$53,IF(W248=[9]Listas!$F$55,[9]Listas!$G$55,""))</f>
        <v/>
      </c>
      <c r="Z248" s="331"/>
      <c r="AA248" s="182" t="str">
        <f>+IF(Z248=[9]Listas!$E$46,[9]Listas!$F$46,IF(Z248=[9]Listas!$E$47,[9]Listas!$F$47,""))</f>
        <v/>
      </c>
      <c r="AB248" s="183" t="str">
        <f t="shared" si="34"/>
        <v/>
      </c>
      <c r="AC248" s="319"/>
      <c r="AD248" s="322"/>
      <c r="AE248" s="323"/>
      <c r="AF248" s="305" t="str">
        <f t="shared" si="28"/>
        <v>Baja</v>
      </c>
      <c r="AG248" s="145">
        <f>IF(Y248=[9]Listas!$G$53,AG247-(AG247*AB248),AG247)</f>
        <v>0.216</v>
      </c>
      <c r="AH248" s="562"/>
      <c r="AI248" s="305" t="str">
        <f t="shared" si="30"/>
        <v>Leve</v>
      </c>
      <c r="AJ248" s="145">
        <f>IF(Y248=[9]Listas!$G$55,AJ247-(AJ247*AB248),AJ247)</f>
        <v>0.2</v>
      </c>
      <c r="AK248" s="562"/>
      <c r="AL248" s="565"/>
      <c r="AM248" s="565"/>
      <c r="AN248" s="565"/>
      <c r="AO248" s="568"/>
      <c r="AP248" s="571"/>
      <c r="AQ248" s="306"/>
      <c r="AR248" s="191"/>
    </row>
    <row r="249" spans="2:44" ht="15.65" hidden="1" customHeight="1" thickTop="1" x14ac:dyDescent="0.35">
      <c r="B249" s="870"/>
      <c r="C249" s="560"/>
      <c r="D249" s="610"/>
      <c r="E249" s="577"/>
      <c r="F249" s="625"/>
      <c r="G249" s="628"/>
      <c r="H249" s="628"/>
      <c r="I249" s="589"/>
      <c r="J249" s="589"/>
      <c r="K249" s="592"/>
      <c r="L249" s="589"/>
      <c r="M249" s="595"/>
      <c r="N249" s="598"/>
      <c r="O249" s="601"/>
      <c r="P249" s="595"/>
      <c r="Q249" s="604"/>
      <c r="R249" s="601"/>
      <c r="S249" s="289"/>
      <c r="T249" s="604"/>
      <c r="U249" s="142" t="s">
        <v>220</v>
      </c>
      <c r="V249" s="418"/>
      <c r="W249" s="331"/>
      <c r="X249" s="320" t="str">
        <f>IF(W249=[9]Listas!$B$46,[9]Listas!$C$46,IF(W249=[9]Listas!$B$47,[9]Listas!$C$47,IF(W249=[9]Listas!$B$48,[9]Listas!$C$48,"")))</f>
        <v/>
      </c>
      <c r="Y249" s="321" t="str">
        <f>IF(OR(W249=[9]Listas!$F$53,W249=[9]Listas!$F$54),[9]Listas!$G$53,IF(W249=[9]Listas!$F$55,[9]Listas!$G$55,""))</f>
        <v/>
      </c>
      <c r="Z249" s="331"/>
      <c r="AA249" s="182" t="str">
        <f>+IF(Z249=[9]Listas!$E$46,[9]Listas!$F$46,IF(Z249=[9]Listas!$E$47,[9]Listas!$F$47,""))</f>
        <v/>
      </c>
      <c r="AB249" s="183" t="str">
        <f t="shared" si="34"/>
        <v/>
      </c>
      <c r="AC249" s="319"/>
      <c r="AD249" s="322"/>
      <c r="AE249" s="323"/>
      <c r="AF249" s="305" t="str">
        <f t="shared" si="28"/>
        <v>Baja</v>
      </c>
      <c r="AG249" s="145">
        <f>IF(Y249=[9]Listas!$G$53,AG248-(AG248*AB249),AG248)</f>
        <v>0.216</v>
      </c>
      <c r="AH249" s="562"/>
      <c r="AI249" s="305" t="str">
        <f t="shared" si="30"/>
        <v>Leve</v>
      </c>
      <c r="AJ249" s="145">
        <f>IF(Y249=[9]Listas!$G$55,AJ248-(AJ248*AB249),AJ248)</f>
        <v>0.2</v>
      </c>
      <c r="AK249" s="562"/>
      <c r="AL249" s="565"/>
      <c r="AM249" s="565"/>
      <c r="AN249" s="565"/>
      <c r="AO249" s="568"/>
      <c r="AP249" s="571"/>
      <c r="AQ249" s="306"/>
      <c r="AR249" s="191"/>
    </row>
    <row r="250" spans="2:44" ht="15.65" hidden="1" customHeight="1" thickTop="1" x14ac:dyDescent="0.35">
      <c r="B250" s="870"/>
      <c r="C250" s="560"/>
      <c r="D250" s="610"/>
      <c r="E250" s="577"/>
      <c r="F250" s="625"/>
      <c r="G250" s="628"/>
      <c r="H250" s="628"/>
      <c r="I250" s="589"/>
      <c r="J250" s="589"/>
      <c r="K250" s="592"/>
      <c r="L250" s="589"/>
      <c r="M250" s="595"/>
      <c r="N250" s="598"/>
      <c r="O250" s="601"/>
      <c r="P250" s="595"/>
      <c r="Q250" s="604"/>
      <c r="R250" s="601"/>
      <c r="S250" s="289"/>
      <c r="T250" s="604"/>
      <c r="U250" s="142" t="s">
        <v>223</v>
      </c>
      <c r="V250" s="418"/>
      <c r="W250" s="331"/>
      <c r="X250" s="320" t="str">
        <f>IF(W250=[9]Listas!$B$46,[9]Listas!$C$46,IF(W250=[9]Listas!$B$47,[9]Listas!$C$47,IF(W250=[9]Listas!$B$48,[9]Listas!$C$48,"")))</f>
        <v/>
      </c>
      <c r="Y250" s="321" t="str">
        <f>IF(OR(W250=[9]Listas!$F$53,W250=[9]Listas!$F$54),[9]Listas!$G$53,IF(W250=[9]Listas!$F$55,[9]Listas!$G$55,""))</f>
        <v/>
      </c>
      <c r="Z250" s="331"/>
      <c r="AA250" s="182" t="str">
        <f>+IF(Z250=[9]Listas!$E$46,[9]Listas!$F$46,IF(Z250=[9]Listas!$E$47,[9]Listas!$F$47,""))</f>
        <v/>
      </c>
      <c r="AB250" s="183" t="str">
        <f t="shared" si="34"/>
        <v/>
      </c>
      <c r="AC250" s="319"/>
      <c r="AD250" s="322"/>
      <c r="AE250" s="323"/>
      <c r="AF250" s="305" t="str">
        <f t="shared" si="28"/>
        <v>Baja</v>
      </c>
      <c r="AG250" s="145">
        <f>IF(Y250=[9]Listas!$G$53,AG249-(AG249*AB250),AG249)</f>
        <v>0.216</v>
      </c>
      <c r="AH250" s="562"/>
      <c r="AI250" s="305" t="str">
        <f t="shared" si="30"/>
        <v>Leve</v>
      </c>
      <c r="AJ250" s="145">
        <f>IF(Y250=[9]Listas!$G$55,AJ249-(AJ249*AB250),AJ249)</f>
        <v>0.2</v>
      </c>
      <c r="AK250" s="562"/>
      <c r="AL250" s="565"/>
      <c r="AM250" s="565"/>
      <c r="AN250" s="565"/>
      <c r="AO250" s="568"/>
      <c r="AP250" s="571"/>
      <c r="AQ250" s="357"/>
      <c r="AR250" s="191"/>
    </row>
    <row r="251" spans="2:44" ht="16" hidden="1" customHeight="1" thickTop="1" x14ac:dyDescent="0.35">
      <c r="B251" s="870"/>
      <c r="C251" s="560"/>
      <c r="D251" s="611"/>
      <c r="E251" s="578"/>
      <c r="F251" s="626"/>
      <c r="G251" s="629"/>
      <c r="H251" s="629"/>
      <c r="I251" s="590"/>
      <c r="J251" s="590"/>
      <c r="K251" s="593"/>
      <c r="L251" s="590"/>
      <c r="M251" s="596"/>
      <c r="N251" s="599"/>
      <c r="O251" s="602"/>
      <c r="P251" s="596"/>
      <c r="Q251" s="605"/>
      <c r="R251" s="602"/>
      <c r="S251" s="293"/>
      <c r="T251" s="605"/>
      <c r="U251" s="202" t="s">
        <v>224</v>
      </c>
      <c r="V251" s="416"/>
      <c r="W251" s="335"/>
      <c r="X251" s="336" t="str">
        <f>IF(W251=[9]Listas!$B$46,[9]Listas!$C$46,IF(W251=[9]Listas!$B$47,[9]Listas!$C$47,IF(W251=[9]Listas!$B$48,[9]Listas!$C$48,"")))</f>
        <v/>
      </c>
      <c r="Y251" s="337" t="str">
        <f>IF(OR(W251=[9]Listas!$F$53,W251=[9]Listas!$F$54),[9]Listas!$G$53,IF(W251=[9]Listas!$F$55,[9]Listas!$G$55,""))</f>
        <v/>
      </c>
      <c r="Z251" s="335"/>
      <c r="AA251" s="186" t="str">
        <f>+IF(Z251=[9]Listas!$E$46,[9]Listas!$F$46,IF(Z251=[9]Listas!$E$47,[9]Listas!$F$47,""))</f>
        <v/>
      </c>
      <c r="AB251" s="187" t="str">
        <f t="shared" si="34"/>
        <v/>
      </c>
      <c r="AC251" s="338"/>
      <c r="AD251" s="339"/>
      <c r="AE251" s="340"/>
      <c r="AF251" s="311" t="str">
        <f t="shared" si="28"/>
        <v>Baja</v>
      </c>
      <c r="AG251" s="179">
        <f>IF(Y251=[9]Listas!$G$53,AG250-(AG250*AB251),AG250)</f>
        <v>0.216</v>
      </c>
      <c r="AH251" s="563"/>
      <c r="AI251" s="311" t="str">
        <f t="shared" si="30"/>
        <v>Leve</v>
      </c>
      <c r="AJ251" s="179">
        <f>IF(Y251=[9]Listas!$G$55,AJ250-(AJ250*AB251),AJ250)</f>
        <v>0.2</v>
      </c>
      <c r="AK251" s="563"/>
      <c r="AL251" s="566"/>
      <c r="AM251" s="566"/>
      <c r="AN251" s="566"/>
      <c r="AO251" s="569"/>
      <c r="AP251" s="572"/>
      <c r="AQ251" s="346"/>
      <c r="AR251" s="192"/>
    </row>
    <row r="252" spans="2:44" ht="78" customHeight="1" thickTop="1" thickBot="1" x14ac:dyDescent="0.4">
      <c r="B252" s="870"/>
      <c r="C252" s="560"/>
      <c r="D252" s="744" t="s">
        <v>433</v>
      </c>
      <c r="E252" s="576" t="s">
        <v>5</v>
      </c>
      <c r="F252" s="624" t="s">
        <v>434</v>
      </c>
      <c r="G252" s="627" t="s">
        <v>435</v>
      </c>
      <c r="H252" s="627" t="s">
        <v>436</v>
      </c>
      <c r="I252" s="588" t="s">
        <v>28</v>
      </c>
      <c r="J252" s="588" t="s">
        <v>22</v>
      </c>
      <c r="K252" s="591" t="s">
        <v>437</v>
      </c>
      <c r="L252" s="588" t="s">
        <v>186</v>
      </c>
      <c r="M252" s="594" t="s">
        <v>222</v>
      </c>
      <c r="N252" s="597" t="str">
        <f>+IF(M252="","",IF(M252=$BO$15,$BN$15,IF(M252=$BO$16,$BN$16,IF(M252=$BO$17,$BN$17,IF(M252=$BO$18,$BN$18,IF(M252=$BO$19,$BN$19))))))</f>
        <v>Muy Alta</v>
      </c>
      <c r="O252" s="600">
        <f>+IF(M252="","",IF(M252=$BO$15,$BR$15,IF(M252=$BO$16,$BR$16,IF(M252=$BO$17,$BR$17,IF(M252=$BO$18,$BR$18,IF(M252=$BO$19,$BR$19))))))</f>
        <v>1</v>
      </c>
      <c r="P252" s="594" t="s">
        <v>195</v>
      </c>
      <c r="Q252" s="603" t="str">
        <f>+IF(P252="","",IF(P252='[9]Mapa de Calor inherente'!$AF$6,'[9]Mapa de Calor inherente'!$AD$6,IF(P252='[9]Mapa de Calor inherente'!$AF$7,'[9]Mapa de Calor inherente'!$AD$7,IF(P252='[9]Mapa de Calor inherente'!$AF$8,'[9]Mapa de Calor inherente'!$AD$8,IF(P252='[9]Mapa de Calor inherente'!$AF$9,'[9]Mapa de Calor inherente'!$AD$9,IF(P252='[9]Mapa de Calor inherente'!$AF$10,'[9]Mapa de Calor inherente'!$AD$10,IF(P252='[9]Mapa de Calor inherente'!$AG$6,'[9]Mapa de Calor inherente'!$AD$6,IF(P252='[9]Mapa de Calor inherente'!$AG$7,'[9]Mapa de Calor inherente'!$AD$7,IF(P252='[9]Mapa de Calor inherente'!$AG$8,'[9]Mapa de Calor inherente'!$AD$8,IF(P252='[9]Mapa de Calor inherente'!$AG$9,'[9]Mapa de Calor inherente'!$AD$9,IF(P252='[9]Mapa de Calor inherente'!$AG$10,'[9]Mapa de Calor inherente'!$AD$10,IF(P252='[9]Mapa de Calor inherente'!$AD$8,'[9]Mapa de Calor inherente'!$AD$8,IF(P252='[9]Mapa de Calor inherente'!$AD$9,'[9]Mapa de Calor inherente'!$AD$9,IF(P252='[9]Mapa de Calor inherente'!$AD$10,'[9]Mapa de Calor inherente'!$AD$10))))))))))))))</f>
        <v>Leve</v>
      </c>
      <c r="R252" s="600">
        <f>+IF(P252="","",IF(P252='[9]Mapa de Calor inherente'!$AF$6,'[9]Mapa de Calor inherente'!$AE$6,IF(P252='[9]Mapa de Calor inherente'!$AF$7,'[9]Mapa de Calor inherente'!$AE$7,IF(P252='[9]Mapa de Calor inherente'!$AF$8,'[9]Mapa de Calor inherente'!$AE$8,IF(P252='[9]Mapa de Calor inherente'!$AF$9,'[9]Mapa de Calor inherente'!$AE$9,IF(P252='[9]Mapa de Calor inherente'!$AF$10,'[9]Mapa de Calor inherente'!$AE$10,IF(P252='[9]Mapa de Calor inherente'!$AG$6,'[9]Mapa de Calor inherente'!$AE$6,IF(P252='[9]Mapa de Calor inherente'!$AG$7,'[9]Mapa de Calor inherente'!$AE$7,IF(P252='[9]Mapa de Calor inherente'!$AG$8,'[9]Mapa de Calor inherente'!$AE$8,IF(P252='[9]Mapa de Calor inherente'!$AG$9,'[9]Mapa de Calor inherente'!$AE$9,IF(P252='[9]Mapa de Calor inherente'!$AG$10,'[9]Mapa de Calor inherente'!$AE$10,IF(P252='[9]Mapa de Calor inherente'!$AD$8,'[9]Mapa de Calor inherente'!$AE$8,IF(P252='[9]Mapa de Calor inherente'!$AD$9,'[9]Mapa de Calor inherente'!$AE$9,IF(P252='[9]Mapa de Calor inherente'!$AD$10,'[9]Mapa de Calor inherente'!$AE$10))))))))))))))</f>
        <v>0.2</v>
      </c>
      <c r="S252" s="292" t="e">
        <f>IF(N252="","",IF(R252="","",(N252*R252)))</f>
        <v>#VALUE!</v>
      </c>
      <c r="T252" s="603" t="str">
        <f>+IF(N252=$BB$17,IF(Q252=$BC$16,$BC$17,IF(Q252=$BD$16,$BD$17,IF(Q252=$BE$16,$BE$17,IF(Q252=$BF$16,$BF$17,IF(Q252=$BG$16,$BG$17))))),IF(N252=$BB$18,IF(Q252=$BC$16,$BC$18,IF(Q252=$BD$16,$BD$18,IF(Q252=$BE$16,$BE$18,IF(Q252=$BF$16,$BF$18,IF(Q252=$BG$16,$BG$18))))),IF(N252=$BB$19,IF(Q252=$BC$16,$BC$19,IF(Q252=$BD$16,$BD$19,IF(Q252=$BE$16,$BE$19,IF(Q252=$BF$16,$BF$19,IF(Q252=$BG$16,$BG$19))))),IF(N252=$BB$20,IF(Q252=$BC$16,$BC$20,IF(Q252=$BD$16,$BD$20,IF(Q252=$BE$16,$BE$20,IF(Q252=$BF$16,$BF$20,IF(Q252=$BG$16,$BG$20))))),IF(N252=$BB$21,IF(Q252=$BC$16,$BC$21,IF(Q252=$BD$16,$BD$21,IF(Q252=$BE$16,$BE$21,IF(Q252=$BF$16,$BF$21,IF(Q252=$BG$16,$BG$21))))),"")))))</f>
        <v>Alto</v>
      </c>
      <c r="U252" s="139" t="s">
        <v>171</v>
      </c>
      <c r="V252" s="449" t="s">
        <v>401</v>
      </c>
      <c r="W252" s="313" t="s">
        <v>40</v>
      </c>
      <c r="X252" s="314">
        <f>IF(W252=[9]Listas!$B$46,[9]Listas!$C$46,IF(W252=[9]Listas!$B$47,[9]Listas!$C$47,IF(W252=[9]Listas!$B$48,[9]Listas!$C$48,"")))</f>
        <v>0.25</v>
      </c>
      <c r="Y252" s="315" t="str">
        <f>IF(OR(W252=[9]Listas!$F$53,W252=[9]Listas!$F$54),[9]Listas!$G$53,IF(W252=[9]Listas!$F$55,[9]Listas!$G$55,""))</f>
        <v>Probabilidad</v>
      </c>
      <c r="Z252" s="313" t="s">
        <v>43</v>
      </c>
      <c r="AA252" s="314">
        <f>+IF(Z252=[9]Listas!$E$46,[9]Listas!$F$46,IF(Z252=[9]Listas!$E$47,[9]Listas!$F$47,""))</f>
        <v>0.15</v>
      </c>
      <c r="AB252" s="181">
        <f>IFERROR(X252+AA252,"")</f>
        <v>0.4</v>
      </c>
      <c r="AC252" s="313" t="s">
        <v>57</v>
      </c>
      <c r="AD252" s="316" t="s">
        <v>58</v>
      </c>
      <c r="AE252" s="317" t="s">
        <v>59</v>
      </c>
      <c r="AF252" s="299" t="str">
        <f t="shared" si="28"/>
        <v>Media</v>
      </c>
      <c r="AG252" s="141">
        <f>IF(Y252=[9]Listas!$G$53,O252-(O252*AB252),O252)</f>
        <v>0.6</v>
      </c>
      <c r="AH252" s="561">
        <f>+IF(AG261="","",AG261)</f>
        <v>0.216</v>
      </c>
      <c r="AI252" s="299" t="str">
        <f>IF(AJ252="","",IF(AJ252&lt;=20%,"Leve",IF(AJ252&lt;=40%,"Menor",IF(AJ252&lt;=60%,"Moderado",IF(AJ252&lt;=80%,"Mayor","Catastrófico")))))</f>
        <v>Leve</v>
      </c>
      <c r="AJ252" s="141">
        <f>IF(Y252=[9]Listas!$G$55,R252-(R252*AB252),R252)</f>
        <v>0.2</v>
      </c>
      <c r="AK252" s="561">
        <f>+IF(AJ261="","",AJ261)</f>
        <v>0.2</v>
      </c>
      <c r="AL252" s="564" t="str">
        <f>+IF(AH252=0,"",IF(AH252&lt;=$BA$21,$BB$21,IF(AH252&lt;=$BA$20,$BB$20,IF(AH252&lt;=$BA$19,$BB$19,IF(AH252&lt;=$BA$18,$BB$18,IF(AH252&lt;=$BA$17,$BB$17,""))))))</f>
        <v>Baja</v>
      </c>
      <c r="AM252" s="564" t="str">
        <f>+IF(AK252=0,"",IF(AK252&lt;=$BC$15,$BC$16,IF(AK252&lt;=$BD$15,$BD$16,IF(AK252&lt;=$BE$15,$BE$16,IF(AK252&lt;=$BF$15,$BF$16,IF(AK252&lt;=$BG$15,$BG$16,""))))))</f>
        <v>Leve</v>
      </c>
      <c r="AN252" s="564" t="str">
        <f>IF(AL252=$BB$17,IF(AM252=$BC$16,$BC$17,IF(AM252=$BD$16,$BD$17,IF(AM252=$BE$16,$BE$17,IF(AM252=$BF$16,$BF$17,IF(AM252=$BG$16,$BG$17))))),IF(AL252=$BB$18,IF(AM252=$BC$16,$BC$18,IF(AM252=$BD$16,$BD$18,IF(AM252=$BE$16,$BE$18,IF(AM252=$BF$16,$BF$18,IF(AM252=$BG$16,$BG$18))))),IF(AL252=$BB$19,IF(AM252=$BC$16,$BC$19,IF(AM252=$BD$16,$BD$19,IF(AM252=$BE$16,$BE$19,IF(AM252=$BF$16,$BF$19,IF(AM252=$BG$16,$BG$19))))),IF(AL252=$BB$20,IF(AM252=$BC$16,$BC$20,IF(AM252=$BD$16,$BD$20,IF(AM252=$BE$16,$BE$20,IF(AM252=$BF$16,$BF$20,IF(AM252=$BG$16,$BG$20))))),IF(AL252=$BB$21,IF(AM252=$BC$16,$BC$21,IF(AM252=$BD$16,$BD$21,IF(AM252=$BE$16,$BE$21,IF(AM252=$BF$16,$BF$21,IF(AM252=$BG$16,$BG$21))))),"")))))</f>
        <v>Bajo</v>
      </c>
      <c r="AO252" s="567" t="str">
        <f>IF(AP252="","",IF(AP252=[9]Listas!$F$61,[9]Listas!$G$61,IF(AP252=[9]Listas!$F$63,[9]Listas!$G$63,IF(AP252=[9]Listas!$F$64,[9]Listas!$G$64))))</f>
        <v>No requiere Plan de Acción</v>
      </c>
      <c r="AP252" s="570" t="str">
        <f>IF(AN252="","",IF(OR(AN252=[9]Listas!$E$61,AN252=[9]Listas!$E$62),[9]Listas!$F$61,IF(AN252=[9]Listas!$E$63,[9]Listas!$F$63,IF(AN252=[9]Listas!$E$64,[9]Listas!$F$64))))</f>
        <v>Aceptar  el riesgo</v>
      </c>
      <c r="AQ252" s="358" t="s">
        <v>90</v>
      </c>
      <c r="AR252" s="211" t="s">
        <v>400</v>
      </c>
    </row>
    <row r="253" spans="2:44" ht="108.75" customHeight="1" thickTop="1" thickBot="1" x14ac:dyDescent="0.4">
      <c r="B253" s="870"/>
      <c r="C253" s="560"/>
      <c r="D253" s="745"/>
      <c r="E253" s="577"/>
      <c r="F253" s="625"/>
      <c r="G253" s="628"/>
      <c r="H253" s="628"/>
      <c r="I253" s="589"/>
      <c r="J253" s="589"/>
      <c r="K253" s="592"/>
      <c r="L253" s="589"/>
      <c r="M253" s="595"/>
      <c r="N253" s="598"/>
      <c r="O253" s="601"/>
      <c r="P253" s="595"/>
      <c r="Q253" s="604"/>
      <c r="R253" s="601"/>
      <c r="S253" s="286"/>
      <c r="T253" s="604"/>
      <c r="U253" s="142" t="s">
        <v>174</v>
      </c>
      <c r="V253" s="448" t="s">
        <v>438</v>
      </c>
      <c r="W253" s="331" t="s">
        <v>40</v>
      </c>
      <c r="X253" s="320">
        <f>IF(W253=[9]Listas!$B$46,[9]Listas!$C$46,IF(W253=[9]Listas!$B$47,[9]Listas!$C$47,IF(W253=[9]Listas!$B$48,[9]Listas!$C$48,"")))</f>
        <v>0.25</v>
      </c>
      <c r="Y253" s="321" t="str">
        <f>IF(OR(W253=[9]Listas!$F$53,W253=[9]Listas!$F$54),[9]Listas!$G$53,IF(W253=[9]Listas!$F$55,[9]Listas!$G$55,""))</f>
        <v>Probabilidad</v>
      </c>
      <c r="Z253" s="319" t="s">
        <v>43</v>
      </c>
      <c r="AA253" s="182">
        <f>+IF(Z253=[9]Listas!$E$46,[9]Listas!$F$46,IF(Z253=[9]Listas!$E$47,[9]Listas!$F$47,""))</f>
        <v>0.15</v>
      </c>
      <c r="AB253" s="183">
        <f>IFERROR(X253+AA253,"")</f>
        <v>0.4</v>
      </c>
      <c r="AC253" s="319" t="s">
        <v>57</v>
      </c>
      <c r="AD253" s="322" t="s">
        <v>58</v>
      </c>
      <c r="AE253" s="323" t="s">
        <v>59</v>
      </c>
      <c r="AF253" s="305" t="str">
        <f t="shared" si="28"/>
        <v>Baja</v>
      </c>
      <c r="AG253" s="145">
        <f>IF(Y253=[9]Listas!$G$53,AG252-(AG252*AB253),AG252)</f>
        <v>0.36</v>
      </c>
      <c r="AH253" s="562"/>
      <c r="AI253" s="305" t="str">
        <f t="shared" si="30"/>
        <v>Leve</v>
      </c>
      <c r="AJ253" s="145">
        <f>IF(Y253=[9]Listas!$G$55,AJ252-(AJ252*AB253),AJ252)</f>
        <v>0.2</v>
      </c>
      <c r="AK253" s="562"/>
      <c r="AL253" s="565"/>
      <c r="AM253" s="565"/>
      <c r="AN253" s="565"/>
      <c r="AO253" s="568"/>
      <c r="AP253" s="571"/>
      <c r="AQ253" s="343"/>
      <c r="AR253" s="191"/>
    </row>
    <row r="254" spans="2:44" ht="46.5" customHeight="1" thickTop="1" thickBot="1" x14ac:dyDescent="0.4">
      <c r="B254" s="870"/>
      <c r="C254" s="560"/>
      <c r="D254" s="745"/>
      <c r="E254" s="577"/>
      <c r="F254" s="625"/>
      <c r="G254" s="628"/>
      <c r="H254" s="628"/>
      <c r="I254" s="589"/>
      <c r="J254" s="589"/>
      <c r="K254" s="592"/>
      <c r="L254" s="589"/>
      <c r="M254" s="595"/>
      <c r="N254" s="598"/>
      <c r="O254" s="601"/>
      <c r="P254" s="595"/>
      <c r="Q254" s="604"/>
      <c r="R254" s="601"/>
      <c r="S254" s="287"/>
      <c r="T254" s="604"/>
      <c r="U254" s="142" t="s">
        <v>180</v>
      </c>
      <c r="V254" s="432" t="s">
        <v>439</v>
      </c>
      <c r="W254" s="331" t="s">
        <v>40</v>
      </c>
      <c r="X254" s="320">
        <f>IF(W254=[9]Listas!$B$46,[9]Listas!$C$46,IF(W254=[9]Listas!$B$47,[9]Listas!$C$47,IF(W254=[9]Listas!$B$48,[9]Listas!$C$48,"")))</f>
        <v>0.25</v>
      </c>
      <c r="Y254" s="321" t="str">
        <f>IF(OR(W254=[9]Listas!$F$53,W254=[9]Listas!$F$54),[9]Listas!$G$53,IF(W254=[9]Listas!$F$55,[9]Listas!$G$55,""))</f>
        <v>Probabilidad</v>
      </c>
      <c r="Z254" s="319" t="s">
        <v>43</v>
      </c>
      <c r="AA254" s="182">
        <f>+IF(Z254=[9]Listas!$E$46,[9]Listas!$F$46,IF(Z254=[9]Listas!$E$47,[9]Listas!$F$47,""))</f>
        <v>0.15</v>
      </c>
      <c r="AB254" s="183">
        <f>IFERROR(X254+AA254,"")</f>
        <v>0.4</v>
      </c>
      <c r="AC254" s="319" t="s">
        <v>57</v>
      </c>
      <c r="AD254" s="322" t="s">
        <v>58</v>
      </c>
      <c r="AE254" s="323" t="s">
        <v>59</v>
      </c>
      <c r="AF254" s="305" t="str">
        <f t="shared" si="28"/>
        <v>Baja</v>
      </c>
      <c r="AG254" s="145">
        <f>IF(Y254=[9]Listas!$G$53,AG253-(AG253*AB254),AG253)</f>
        <v>0.216</v>
      </c>
      <c r="AH254" s="562"/>
      <c r="AI254" s="305" t="str">
        <f t="shared" si="30"/>
        <v>Leve</v>
      </c>
      <c r="AJ254" s="145">
        <f>IF(Y254=[9]Listas!$G$55,AJ253-(AJ253*AB254),AJ253)</f>
        <v>0.2</v>
      </c>
      <c r="AK254" s="562"/>
      <c r="AL254" s="565"/>
      <c r="AM254" s="565"/>
      <c r="AN254" s="565"/>
      <c r="AO254" s="568"/>
      <c r="AP254" s="571"/>
      <c r="AQ254" s="343"/>
      <c r="AR254" s="191"/>
    </row>
    <row r="255" spans="2:44" ht="15" hidden="1" customHeight="1" x14ac:dyDescent="0.35">
      <c r="B255" s="870"/>
      <c r="C255" s="560"/>
      <c r="D255" s="745"/>
      <c r="E255" s="577"/>
      <c r="F255" s="625"/>
      <c r="G255" s="628"/>
      <c r="H255" s="628"/>
      <c r="I255" s="589"/>
      <c r="J255" s="589"/>
      <c r="K255" s="592"/>
      <c r="L255" s="589"/>
      <c r="M255" s="595"/>
      <c r="N255" s="598"/>
      <c r="O255" s="601"/>
      <c r="P255" s="595"/>
      <c r="Q255" s="604"/>
      <c r="R255" s="601"/>
      <c r="S255" s="287"/>
      <c r="T255" s="604"/>
      <c r="U255" s="142" t="s">
        <v>190</v>
      </c>
      <c r="V255" s="415"/>
      <c r="W255" s="331"/>
      <c r="X255" s="320" t="str">
        <f>IF(W255=[9]Listas!$B$46,[9]Listas!$C$46,IF(W255=[9]Listas!$B$47,[9]Listas!$C$47,IF(W255=[9]Listas!$B$48,[9]Listas!$C$48,"")))</f>
        <v/>
      </c>
      <c r="Y255" s="321" t="str">
        <f>IF(OR(W255=[9]Listas!$F$53,W255=[9]Listas!$F$54),[9]Listas!$G$53,IF(W255=[9]Listas!$F$55,[9]Listas!$G$55,""))</f>
        <v/>
      </c>
      <c r="Z255" s="319"/>
      <c r="AA255" s="182" t="str">
        <f>+IF(Z255=[9]Listas!$E$46,[9]Listas!$F$46,IF(Z255=[9]Listas!$E$47,[9]Listas!$F$47,""))</f>
        <v/>
      </c>
      <c r="AB255" s="183" t="str">
        <f t="shared" ref="AB255:AB261" si="35">IFERROR(X255+AA255,"")</f>
        <v/>
      </c>
      <c r="AC255" s="328"/>
      <c r="AD255" s="329"/>
      <c r="AE255" s="330"/>
      <c r="AF255" s="305" t="str">
        <f t="shared" si="28"/>
        <v>Baja</v>
      </c>
      <c r="AG255" s="145">
        <f>IF(Y255=[9]Listas!$G$53,AG254-(AG254*AB255),AG254)</f>
        <v>0.216</v>
      </c>
      <c r="AH255" s="562"/>
      <c r="AI255" s="305" t="str">
        <f t="shared" si="30"/>
        <v>Leve</v>
      </c>
      <c r="AJ255" s="145">
        <f>IF(Y255=[9]Listas!$G$55,AJ254-(AJ254*AB255),AJ254)</f>
        <v>0.2</v>
      </c>
      <c r="AK255" s="562"/>
      <c r="AL255" s="565"/>
      <c r="AM255" s="565"/>
      <c r="AN255" s="565"/>
      <c r="AO255" s="568"/>
      <c r="AP255" s="571"/>
      <c r="AQ255" s="343"/>
      <c r="AR255" s="191"/>
    </row>
    <row r="256" spans="2:44" ht="15" hidden="1" customHeight="1" thickTop="1" x14ac:dyDescent="0.35">
      <c r="B256" s="870"/>
      <c r="C256" s="560"/>
      <c r="D256" s="745"/>
      <c r="E256" s="577"/>
      <c r="F256" s="625"/>
      <c r="G256" s="628"/>
      <c r="H256" s="628"/>
      <c r="I256" s="589"/>
      <c r="J256" s="589"/>
      <c r="K256" s="592"/>
      <c r="L256" s="589"/>
      <c r="M256" s="595"/>
      <c r="N256" s="598"/>
      <c r="O256" s="601"/>
      <c r="P256" s="595"/>
      <c r="Q256" s="604"/>
      <c r="R256" s="601"/>
      <c r="S256" s="287"/>
      <c r="T256" s="604"/>
      <c r="U256" s="142" t="s">
        <v>198</v>
      </c>
      <c r="V256" s="415"/>
      <c r="W256" s="331"/>
      <c r="X256" s="320" t="str">
        <f>IF(W256=[9]Listas!$B$46,[9]Listas!$C$46,IF(W256=[9]Listas!$B$47,[9]Listas!$C$47,IF(W256=[9]Listas!$B$48,[9]Listas!$C$48,"")))</f>
        <v/>
      </c>
      <c r="Y256" s="321" t="str">
        <f>IF(OR(W256=[9]Listas!$F$53,W256=[9]Listas!$F$54),[9]Listas!$G$53,IF(W256=[9]Listas!$F$55,[9]Listas!$G$55,""))</f>
        <v/>
      </c>
      <c r="Z256" s="319"/>
      <c r="AA256" s="182" t="str">
        <f>+IF(Z256=[9]Listas!$E$46,[9]Listas!$F$46,IF(Z256=[9]Listas!$E$47,[9]Listas!$F$47,""))</f>
        <v/>
      </c>
      <c r="AB256" s="183" t="str">
        <f t="shared" si="35"/>
        <v/>
      </c>
      <c r="AC256" s="319"/>
      <c r="AD256" s="322"/>
      <c r="AE256" s="323"/>
      <c r="AF256" s="305" t="str">
        <f t="shared" si="28"/>
        <v>Baja</v>
      </c>
      <c r="AG256" s="145">
        <f>IF(Y256=[9]Listas!$G$53,AG255-(AG255*AB256),AG255)</f>
        <v>0.216</v>
      </c>
      <c r="AH256" s="562"/>
      <c r="AI256" s="305" t="str">
        <f t="shared" si="30"/>
        <v>Leve</v>
      </c>
      <c r="AJ256" s="145">
        <f>IF(Y256=[9]Listas!$G$55,AJ255-(AJ255*AB256),AJ255)</f>
        <v>0.2</v>
      </c>
      <c r="AK256" s="562"/>
      <c r="AL256" s="565"/>
      <c r="AM256" s="565"/>
      <c r="AN256" s="565"/>
      <c r="AO256" s="568"/>
      <c r="AP256" s="571"/>
      <c r="AQ256" s="344"/>
      <c r="AR256" s="191"/>
    </row>
    <row r="257" spans="2:44" ht="15.75" hidden="1" customHeight="1" thickTop="1" x14ac:dyDescent="0.35">
      <c r="B257" s="870"/>
      <c r="C257" s="560"/>
      <c r="D257" s="745"/>
      <c r="E257" s="577"/>
      <c r="F257" s="625"/>
      <c r="G257" s="628"/>
      <c r="H257" s="628"/>
      <c r="I257" s="589"/>
      <c r="J257" s="589"/>
      <c r="K257" s="592"/>
      <c r="L257" s="589"/>
      <c r="M257" s="595"/>
      <c r="N257" s="598"/>
      <c r="O257" s="601"/>
      <c r="P257" s="595"/>
      <c r="Q257" s="604"/>
      <c r="R257" s="601"/>
      <c r="S257" s="288"/>
      <c r="T257" s="604"/>
      <c r="U257" s="142" t="s">
        <v>208</v>
      </c>
      <c r="V257" s="418"/>
      <c r="W257" s="331"/>
      <c r="X257" s="320" t="str">
        <f>IF(W257=[9]Listas!$B$46,[9]Listas!$C$46,IF(W257=[9]Listas!$B$47,[9]Listas!$C$47,IF(W257=[9]Listas!$B$48,[9]Listas!$C$48,"")))</f>
        <v/>
      </c>
      <c r="Y257" s="321" t="str">
        <f>IF(OR(W257=[9]Listas!$F$53,W257=[9]Listas!$F$54),[9]Listas!$G$53,IF(W257=[9]Listas!$F$55,[9]Listas!$G$55,""))</f>
        <v/>
      </c>
      <c r="Z257" s="319"/>
      <c r="AA257" s="182" t="str">
        <f>+IF(Z257=[9]Listas!$E$46,[9]Listas!$F$46,IF(Z257=[9]Listas!$E$47,[9]Listas!$F$47,""))</f>
        <v/>
      </c>
      <c r="AB257" s="183" t="str">
        <f t="shared" si="35"/>
        <v/>
      </c>
      <c r="AC257" s="319"/>
      <c r="AD257" s="322"/>
      <c r="AE257" s="323"/>
      <c r="AF257" s="305" t="str">
        <f t="shared" si="28"/>
        <v>Baja</v>
      </c>
      <c r="AG257" s="145">
        <f>IF(Y257=[9]Listas!$G$53,AG256-(AG256*AB257),AG256)</f>
        <v>0.216</v>
      </c>
      <c r="AH257" s="562"/>
      <c r="AI257" s="305" t="str">
        <f t="shared" si="30"/>
        <v>Leve</v>
      </c>
      <c r="AJ257" s="145">
        <f>IF(Y257=[9]Listas!$G$55,AJ256-(AJ256*AB257),AJ256)</f>
        <v>0.2</v>
      </c>
      <c r="AK257" s="562"/>
      <c r="AL257" s="565"/>
      <c r="AM257" s="565"/>
      <c r="AN257" s="565"/>
      <c r="AO257" s="568"/>
      <c r="AP257" s="571"/>
      <c r="AQ257" s="343"/>
      <c r="AR257" s="191"/>
    </row>
    <row r="258" spans="2:44" ht="15" hidden="1" customHeight="1" thickTop="1" x14ac:dyDescent="0.35">
      <c r="B258" s="870"/>
      <c r="C258" s="560"/>
      <c r="D258" s="745"/>
      <c r="E258" s="577"/>
      <c r="F258" s="625"/>
      <c r="G258" s="628"/>
      <c r="H258" s="628"/>
      <c r="I258" s="589"/>
      <c r="J258" s="589"/>
      <c r="K258" s="592"/>
      <c r="L258" s="589"/>
      <c r="M258" s="595"/>
      <c r="N258" s="598"/>
      <c r="O258" s="601"/>
      <c r="P258" s="595"/>
      <c r="Q258" s="604"/>
      <c r="R258" s="601"/>
      <c r="S258" s="289"/>
      <c r="T258" s="604"/>
      <c r="U258" s="142" t="s">
        <v>215</v>
      </c>
      <c r="V258" s="415"/>
      <c r="W258" s="319"/>
      <c r="X258" s="320" t="str">
        <f>IF(W258=[9]Listas!$B$46,[9]Listas!$C$46,IF(W258=[9]Listas!$B$47,[9]Listas!$C$47,IF(W258=[9]Listas!$B$48,[9]Listas!$C$48,"")))</f>
        <v/>
      </c>
      <c r="Y258" s="321" t="str">
        <f>IF(OR(W258=[9]Listas!$F$53,W258=[9]Listas!$F$54),[9]Listas!$G$53,IF(W258=[9]Listas!$F$55,[9]Listas!$G$55,""))</f>
        <v/>
      </c>
      <c r="Z258" s="319"/>
      <c r="AA258" s="182" t="str">
        <f>+IF(Z258=[9]Listas!$E$46,[9]Listas!$F$46,IF(Z258=[9]Listas!$E$47,[9]Listas!$F$47,""))</f>
        <v/>
      </c>
      <c r="AB258" s="183" t="str">
        <f t="shared" si="35"/>
        <v/>
      </c>
      <c r="AC258" s="319"/>
      <c r="AD258" s="322"/>
      <c r="AE258" s="323"/>
      <c r="AF258" s="305" t="str">
        <f t="shared" si="28"/>
        <v>Baja</v>
      </c>
      <c r="AG258" s="145">
        <f>IF(Y258=[9]Listas!$G$53,AG257-(AG257*AB258),AG257)</f>
        <v>0.216</v>
      </c>
      <c r="AH258" s="562"/>
      <c r="AI258" s="305" t="str">
        <f t="shared" si="30"/>
        <v>Leve</v>
      </c>
      <c r="AJ258" s="145">
        <f>IF(Y258=[9]Listas!$G$55,AJ257-(AJ257*AB258),AJ257)</f>
        <v>0.2</v>
      </c>
      <c r="AK258" s="562"/>
      <c r="AL258" s="565"/>
      <c r="AM258" s="565"/>
      <c r="AN258" s="565"/>
      <c r="AO258" s="568"/>
      <c r="AP258" s="571"/>
      <c r="AQ258" s="343"/>
      <c r="AR258" s="191"/>
    </row>
    <row r="259" spans="2:44" ht="15" hidden="1" customHeight="1" thickTop="1" x14ac:dyDescent="0.35">
      <c r="B259" s="870"/>
      <c r="C259" s="560"/>
      <c r="D259" s="745"/>
      <c r="E259" s="577"/>
      <c r="F259" s="625"/>
      <c r="G259" s="628"/>
      <c r="H259" s="628"/>
      <c r="I259" s="589"/>
      <c r="J259" s="589"/>
      <c r="K259" s="592"/>
      <c r="L259" s="589"/>
      <c r="M259" s="595"/>
      <c r="N259" s="598"/>
      <c r="O259" s="601"/>
      <c r="P259" s="595"/>
      <c r="Q259" s="604"/>
      <c r="R259" s="601"/>
      <c r="S259" s="289"/>
      <c r="T259" s="604"/>
      <c r="U259" s="142" t="s">
        <v>220</v>
      </c>
      <c r="V259" s="418"/>
      <c r="W259" s="331"/>
      <c r="X259" s="320" t="str">
        <f>IF(W259=[9]Listas!$B$46,[9]Listas!$C$46,IF(W259=[9]Listas!$B$47,[9]Listas!$C$47,IF(W259=[9]Listas!$B$48,[9]Listas!$C$48,"")))</f>
        <v/>
      </c>
      <c r="Y259" s="321" t="str">
        <f>IF(OR(W259=[9]Listas!$F$53,W259=[9]Listas!$F$54),[9]Listas!$G$53,IF(W259=[9]Listas!$F$55,[9]Listas!$G$55,""))</f>
        <v/>
      </c>
      <c r="Z259" s="319"/>
      <c r="AA259" s="182" t="str">
        <f>+IF(Z259=[9]Listas!$E$46,[9]Listas!$F$46,IF(Z259=[9]Listas!$E$47,[9]Listas!$F$47,""))</f>
        <v/>
      </c>
      <c r="AB259" s="183" t="str">
        <f t="shared" si="35"/>
        <v/>
      </c>
      <c r="AC259" s="319"/>
      <c r="AD259" s="322"/>
      <c r="AE259" s="323"/>
      <c r="AF259" s="305" t="str">
        <f t="shared" si="28"/>
        <v>Baja</v>
      </c>
      <c r="AG259" s="145">
        <f>IF(Y259=[9]Listas!$G$53,AG258-(AG258*AB259),AG258)</f>
        <v>0.216</v>
      </c>
      <c r="AH259" s="562"/>
      <c r="AI259" s="305" t="str">
        <f t="shared" si="30"/>
        <v>Leve</v>
      </c>
      <c r="AJ259" s="145">
        <f>IF(Y259=[9]Listas!$G$55,AJ258-(AJ258*AB259),AJ258)</f>
        <v>0.2</v>
      </c>
      <c r="AK259" s="562"/>
      <c r="AL259" s="565"/>
      <c r="AM259" s="565"/>
      <c r="AN259" s="565"/>
      <c r="AO259" s="568"/>
      <c r="AP259" s="571"/>
      <c r="AQ259" s="344"/>
      <c r="AR259" s="191"/>
    </row>
    <row r="260" spans="2:44" ht="15" hidden="1" customHeight="1" thickTop="1" x14ac:dyDescent="0.35">
      <c r="B260" s="870"/>
      <c r="C260" s="560"/>
      <c r="D260" s="745"/>
      <c r="E260" s="577"/>
      <c r="F260" s="625"/>
      <c r="G260" s="628"/>
      <c r="H260" s="628"/>
      <c r="I260" s="589"/>
      <c r="J260" s="589"/>
      <c r="K260" s="592"/>
      <c r="L260" s="589"/>
      <c r="M260" s="595"/>
      <c r="N260" s="598"/>
      <c r="O260" s="601"/>
      <c r="P260" s="595"/>
      <c r="Q260" s="604"/>
      <c r="R260" s="601"/>
      <c r="S260" s="289"/>
      <c r="T260" s="604"/>
      <c r="U260" s="142" t="s">
        <v>223</v>
      </c>
      <c r="V260" s="418"/>
      <c r="W260" s="331"/>
      <c r="X260" s="320" t="str">
        <f>IF(W260=[9]Listas!$B$46,[9]Listas!$C$46,IF(W260=[9]Listas!$B$47,[9]Listas!$C$47,IF(W260=[9]Listas!$B$48,[9]Listas!$C$48,"")))</f>
        <v/>
      </c>
      <c r="Y260" s="321" t="str">
        <f>IF(OR(W260=[9]Listas!$F$53,W260=[9]Listas!$F$54),[9]Listas!$G$53,IF(W260=[9]Listas!$F$55,[9]Listas!$G$55,""))</f>
        <v/>
      </c>
      <c r="Z260" s="319"/>
      <c r="AA260" s="182" t="str">
        <f>+IF(Z260=[9]Listas!$E$46,[9]Listas!$F$46,IF(Z260=[9]Listas!$E$47,[9]Listas!$F$47,""))</f>
        <v/>
      </c>
      <c r="AB260" s="183" t="str">
        <f t="shared" si="35"/>
        <v/>
      </c>
      <c r="AC260" s="319"/>
      <c r="AD260" s="322"/>
      <c r="AE260" s="323"/>
      <c r="AF260" s="305" t="str">
        <f t="shared" si="28"/>
        <v>Baja</v>
      </c>
      <c r="AG260" s="145">
        <f>IF(Y260=[9]Listas!$G$53,AG259-(AG259*AB260),AG259)</f>
        <v>0.216</v>
      </c>
      <c r="AH260" s="562"/>
      <c r="AI260" s="305" t="str">
        <f t="shared" si="30"/>
        <v>Leve</v>
      </c>
      <c r="AJ260" s="145">
        <f>IF(Y260=[9]Listas!$G$55,AJ259-(AJ259*AB260),AJ259)</f>
        <v>0.2</v>
      </c>
      <c r="AK260" s="562"/>
      <c r="AL260" s="565"/>
      <c r="AM260" s="565"/>
      <c r="AN260" s="565"/>
      <c r="AO260" s="568"/>
      <c r="AP260" s="571"/>
      <c r="AQ260" s="343"/>
      <c r="AR260" s="191"/>
    </row>
    <row r="261" spans="2:44" ht="15.75" hidden="1" customHeight="1" thickTop="1" x14ac:dyDescent="0.35">
      <c r="B261" s="870"/>
      <c r="C261" s="560"/>
      <c r="D261" s="746"/>
      <c r="E261" s="578"/>
      <c r="F261" s="626"/>
      <c r="G261" s="629"/>
      <c r="H261" s="629"/>
      <c r="I261" s="590"/>
      <c r="J261" s="590"/>
      <c r="K261" s="593"/>
      <c r="L261" s="590"/>
      <c r="M261" s="596"/>
      <c r="N261" s="599"/>
      <c r="O261" s="602"/>
      <c r="P261" s="596"/>
      <c r="Q261" s="605"/>
      <c r="R261" s="602"/>
      <c r="S261" s="293"/>
      <c r="T261" s="605"/>
      <c r="U261" s="202" t="s">
        <v>224</v>
      </c>
      <c r="V261" s="416"/>
      <c r="W261" s="335"/>
      <c r="X261" s="336" t="str">
        <f>IF(W261=[9]Listas!$B$46,[9]Listas!$C$46,IF(W261=[9]Listas!$B$47,[9]Listas!$C$47,IF(W261=[9]Listas!$B$48,[9]Listas!$C$48,"")))</f>
        <v/>
      </c>
      <c r="Y261" s="337" t="str">
        <f>IF(OR(W261=[9]Listas!$F$53,W261=[9]Listas!$F$54),[9]Listas!$G$53,IF(W261=[9]Listas!$F$55,[9]Listas!$G$55,""))</f>
        <v/>
      </c>
      <c r="Z261" s="335"/>
      <c r="AA261" s="186" t="str">
        <f>+IF(Z261=[9]Listas!$E$46,[9]Listas!$F$46,IF(Z261=[9]Listas!$E$47,[9]Listas!$F$47,""))</f>
        <v/>
      </c>
      <c r="AB261" s="187" t="str">
        <f t="shared" si="35"/>
        <v/>
      </c>
      <c r="AC261" s="338"/>
      <c r="AD261" s="339"/>
      <c r="AE261" s="340"/>
      <c r="AF261" s="311" t="str">
        <f t="shared" si="28"/>
        <v>Baja</v>
      </c>
      <c r="AG261" s="179">
        <f>IF(Y261=[9]Listas!$G$53,AG260-(AG260*AB261),AG260)</f>
        <v>0.216</v>
      </c>
      <c r="AH261" s="563"/>
      <c r="AI261" s="311" t="str">
        <f t="shared" si="30"/>
        <v>Leve</v>
      </c>
      <c r="AJ261" s="179">
        <f>IF(Y261=[9]Listas!$G$55,AJ260-(AJ260*AB261),AJ260)</f>
        <v>0.2</v>
      </c>
      <c r="AK261" s="563"/>
      <c r="AL261" s="566"/>
      <c r="AM261" s="566"/>
      <c r="AN261" s="566"/>
      <c r="AO261" s="569"/>
      <c r="AP261" s="572"/>
      <c r="AQ261" s="359"/>
      <c r="AR261" s="192"/>
    </row>
    <row r="262" spans="2:44" ht="127" customHeight="1" thickTop="1" thickBot="1" x14ac:dyDescent="0.4">
      <c r="B262" s="870"/>
      <c r="C262" s="560"/>
      <c r="D262" s="744" t="s">
        <v>440</v>
      </c>
      <c r="E262" s="576" t="s">
        <v>5</v>
      </c>
      <c r="F262" s="624" t="s">
        <v>441</v>
      </c>
      <c r="G262" s="627" t="s">
        <v>442</v>
      </c>
      <c r="H262" s="627" t="s">
        <v>443</v>
      </c>
      <c r="I262" s="588" t="s">
        <v>28</v>
      </c>
      <c r="J262" s="588" t="s">
        <v>22</v>
      </c>
      <c r="K262" s="591" t="s">
        <v>444</v>
      </c>
      <c r="L262" s="588" t="s">
        <v>186</v>
      </c>
      <c r="M262" s="594" t="s">
        <v>169</v>
      </c>
      <c r="N262" s="597" t="str">
        <f>+IF(M262="","",IF(M262=$BO$15,$BN$15,IF(M262=$BO$16,$BN$16,IF(M262=$BO$17,$BN$17,IF(M262=$BO$18,$BN$18,IF(M262=$BO$19,$BN$19))))))</f>
        <v>Alta</v>
      </c>
      <c r="O262" s="600">
        <f>+IF(M262="","",IF(M262=$BO$15,$BR$15,IF(M262=$BO$16,$BR$16,IF(M262=$BO$17,$BR$17,IF(M262=$BO$18,$BR$18,IF(M262=$BO$19,$BR$19))))))</f>
        <v>0.8</v>
      </c>
      <c r="P262" s="594" t="s">
        <v>219</v>
      </c>
      <c r="Q262" s="603" t="str">
        <f>+IF(P262="","",IF(P262='[9]Mapa de Calor inherente'!$AF$6,'[9]Mapa de Calor inherente'!$AD$6,IF(P262='[9]Mapa de Calor inherente'!$AF$7,'[9]Mapa de Calor inherente'!$AD$7,IF(P262='[9]Mapa de Calor inherente'!$AF$8,'[9]Mapa de Calor inherente'!$AD$8,IF(P262='[9]Mapa de Calor inherente'!$AF$9,'[9]Mapa de Calor inherente'!$AD$9,IF(P262='[9]Mapa de Calor inherente'!$AF$10,'[9]Mapa de Calor inherente'!$AD$10,IF(P262='[9]Mapa de Calor inherente'!$AG$6,'[9]Mapa de Calor inherente'!$AD$6,IF(P262='[9]Mapa de Calor inherente'!$AG$7,'[9]Mapa de Calor inherente'!$AD$7,IF(P262='[9]Mapa de Calor inherente'!$AG$8,'[9]Mapa de Calor inherente'!$AD$8,IF(P262='[9]Mapa de Calor inherente'!$AG$9,'[9]Mapa de Calor inherente'!$AD$9,IF(P262='[9]Mapa de Calor inherente'!$AG$10,'[9]Mapa de Calor inherente'!$AD$10,IF(P262='[9]Mapa de Calor inherente'!$AD$8,'[9]Mapa de Calor inherente'!$AD$8,IF(P262='[9]Mapa de Calor inherente'!$AD$9,'[9]Mapa de Calor inherente'!$AD$9,IF(P262='[9]Mapa de Calor inherente'!$AD$10,'[9]Mapa de Calor inherente'!$AD$10))))))))))))))</f>
        <v>Mayor</v>
      </c>
      <c r="R262" s="600">
        <f>+IF(P262="","",IF(P262='[9]Mapa de Calor inherente'!$AF$6,'[9]Mapa de Calor inherente'!$AE$6,IF(P262='[9]Mapa de Calor inherente'!$AF$7,'[9]Mapa de Calor inherente'!$AE$7,IF(P262='[9]Mapa de Calor inherente'!$AF$8,'[9]Mapa de Calor inherente'!$AE$8,IF(P262='[9]Mapa de Calor inherente'!$AF$9,'[9]Mapa de Calor inherente'!$AE$9,IF(P262='[9]Mapa de Calor inherente'!$AF$10,'[9]Mapa de Calor inherente'!$AE$10,IF(P262='[9]Mapa de Calor inherente'!$AG$6,'[9]Mapa de Calor inherente'!$AE$6,IF(P262='[9]Mapa de Calor inherente'!$AG$7,'[9]Mapa de Calor inherente'!$AE$7,IF(P262='[9]Mapa de Calor inherente'!$AG$8,'[9]Mapa de Calor inherente'!$AE$8,IF(P262='[9]Mapa de Calor inherente'!$AG$9,'[9]Mapa de Calor inherente'!$AE$9,IF(P262='[9]Mapa de Calor inherente'!$AG$10,'[9]Mapa de Calor inherente'!$AE$10,IF(P262='[9]Mapa de Calor inherente'!$AD$8,'[9]Mapa de Calor inherente'!$AE$8,IF(P262='[9]Mapa de Calor inherente'!$AD$9,'[9]Mapa de Calor inherente'!$AE$9,IF(P262='[9]Mapa de Calor inherente'!$AD$10,'[9]Mapa de Calor inherente'!$AE$10))))))))))))))</f>
        <v>0.8</v>
      </c>
      <c r="S262" s="292" t="e">
        <f>IF(N262="","",IF(R262="","",(N262*R262)))</f>
        <v>#VALUE!</v>
      </c>
      <c r="T262" s="603" t="str">
        <f>+IF(N262=$BB$17,IF(Q262=$BC$16,$BC$17,IF(Q262=$BD$16,$BD$17,IF(Q262=$BE$16,$BE$17,IF(Q262=$BF$16,$BF$17,IF(Q262=$BG$16,$BG$17))))),IF(N262=$BB$18,IF(Q262=$BC$16,$BC$18,IF(Q262=$BD$16,$BD$18,IF(Q262=$BE$16,$BE$18,IF(Q262=$BF$16,$BF$18,IF(Q262=$BG$16,$BG$18))))),IF(N262=$BB$19,IF(Q262=$BC$16,$BC$19,IF(Q262=$BD$16,$BD$19,IF(Q262=$BE$16,$BE$19,IF(Q262=$BF$16,$BF$19,IF(Q262=$BG$16,$BG$19))))),IF(N262=$BB$20,IF(Q262=$BC$16,$BC$20,IF(Q262=$BD$16,$BD$20,IF(Q262=$BE$16,$BE$20,IF(Q262=$BF$16,$BF$20,IF(Q262=$BG$16,$BG$20))))),IF(N262=$BB$21,IF(Q262=$BC$16,$BC$21,IF(Q262=$BD$16,$BD$21,IF(Q262=$BE$16,$BE$21,IF(Q262=$BF$16,$BF$21,IF(Q262=$BG$16,$BG$21))))),"")))))</f>
        <v>Alto</v>
      </c>
      <c r="U262" s="139" t="s">
        <v>171</v>
      </c>
      <c r="V262" s="449" t="s">
        <v>445</v>
      </c>
      <c r="W262" s="313" t="s">
        <v>40</v>
      </c>
      <c r="X262" s="314">
        <f>IF(W262=[9]Listas!$B$46,[9]Listas!$C$46,IF(W262=[9]Listas!$B$47,[9]Listas!$C$47,IF(W262=[9]Listas!$B$48,[9]Listas!$C$48,"")))</f>
        <v>0.25</v>
      </c>
      <c r="Y262" s="315" t="str">
        <f>IF(OR(W262=[9]Listas!$F$53,W262=[9]Listas!$F$54),[9]Listas!$G$53,IF(W262=[9]Listas!$F$55,[9]Listas!$G$55,""))</f>
        <v>Probabilidad</v>
      </c>
      <c r="Z262" s="313" t="s">
        <v>43</v>
      </c>
      <c r="AA262" s="314">
        <f>+IF(Z262=[9]Listas!$E$46,[9]Listas!$F$46,IF(Z262=[9]Listas!$E$47,[9]Listas!$F$47,""))</f>
        <v>0.15</v>
      </c>
      <c r="AB262" s="181">
        <f>IFERROR(X262+AA262,"")</f>
        <v>0.4</v>
      </c>
      <c r="AC262" s="313" t="s">
        <v>57</v>
      </c>
      <c r="AD262" s="316" t="s">
        <v>58</v>
      </c>
      <c r="AE262" s="317" t="s">
        <v>59</v>
      </c>
      <c r="AF262" s="299" t="str">
        <f t="shared" si="28"/>
        <v>Media</v>
      </c>
      <c r="AG262" s="141">
        <f>IF(Y262=[9]Listas!$G$53,O262-(O262*AB262),O262)</f>
        <v>0.48</v>
      </c>
      <c r="AH262" s="561">
        <f>+IF(AG271="","",AG271)</f>
        <v>0.28799999999999998</v>
      </c>
      <c r="AI262" s="299" t="str">
        <f>IF(AJ262="","",IF(AJ262&lt;=20%,"Leve",IF(AJ262&lt;=40%,"Menor",IF(AJ262&lt;=60%,"Moderado",IF(AJ262&lt;=80%,"Mayor","Catastrófico")))))</f>
        <v>Mayor</v>
      </c>
      <c r="AJ262" s="141">
        <f>IF(Y262=[9]Listas!$G$55,R262-(R262*AB262),R262)</f>
        <v>0.8</v>
      </c>
      <c r="AK262" s="561">
        <f>+IF(AJ271="","",AJ271)</f>
        <v>0.8</v>
      </c>
      <c r="AL262" s="564" t="str">
        <f>+IF(AH262=0,"",IF(AH262&lt;=$BA$21,$BB$21,IF(AH262&lt;=$BA$20,$BB$20,IF(AH262&lt;=$BA$19,$BB$19,IF(AH262&lt;=$BA$18,$BB$18,IF(AH262&lt;=$BA$17,$BB$17,""))))))</f>
        <v>Baja</v>
      </c>
      <c r="AM262" s="564" t="str">
        <f>+IF(AK262=0,"",IF(AK262&lt;=$BC$15,$BC$16,IF(AK262&lt;=$BD$15,$BD$16,IF(AK262&lt;=$BE$15,$BE$16,IF(AK262&lt;=$BF$15,$BF$16,IF(AK262&lt;=$BG$15,$BG$16,""))))))</f>
        <v>Mayor</v>
      </c>
      <c r="AN262" s="564" t="str">
        <f>IF(AL262=$BB$17,IF(AM262=$BC$16,$BC$17,IF(AM262=$BD$16,$BD$17,IF(AM262=$BE$16,$BE$17,IF(AM262=$BF$16,$BF$17,IF(AM262=$BG$16,$BG$17))))),IF(AL262=$BB$18,IF(AM262=$BC$16,$BC$18,IF(AM262=$BD$16,$BD$18,IF(AM262=$BE$16,$BE$18,IF(AM262=$BF$16,$BF$18,IF(AM262=$BG$16,$BG$18))))),IF(AL262=$BB$19,IF(AM262=$BC$16,$BC$19,IF(AM262=$BD$16,$BD$19,IF(AM262=$BE$16,$BE$19,IF(AM262=$BF$16,$BF$19,IF(AM262=$BG$16,$BG$19))))),IF(AL262=$BB$20,IF(AM262=$BC$16,$BC$20,IF(AM262=$BD$16,$BD$20,IF(AM262=$BE$16,$BE$20,IF(AM262=$BF$16,$BF$20,IF(AM262=$BG$16,$BG$20))))),IF(AL262=$BB$21,IF(AM262=$BC$16,$BC$21,IF(AM262=$BD$16,$BD$21,IF(AM262=$BE$16,$BE$21,IF(AM262=$BF$16,$BF$21,IF(AM262=$BG$16,$BG$21))))),"")))))</f>
        <v>Alto</v>
      </c>
      <c r="AO262" s="852" t="str">
        <f>IF(AP262="","",IF(AP262=[9]Listas!$F$61,[9]Listas!$G$61,IF(AP262=[9]Listas!$F$63,[9]Listas!$G$63,IF(AP262=[9]Listas!$F$64,[9]Listas!$G$64))))</f>
        <v>Requiere Plan de Acción</v>
      </c>
      <c r="AP262" s="570" t="str">
        <f>IF(AN262="","",IF(OR(AN262=[9]Listas!$E$61,AN262=[9]Listas!$E$62),[9]Listas!$F$61,IF(AN262=[9]Listas!$E$63,[9]Listas!$F$63,IF(AN262=[9]Listas!$E$64,[9]Listas!$F$64))))</f>
        <v>Reducir, evitar, compartir o transferir el riesgo</v>
      </c>
      <c r="AQ262" s="347" t="s">
        <v>80</v>
      </c>
      <c r="AR262" s="208" t="s">
        <v>446</v>
      </c>
    </row>
    <row r="263" spans="2:44" ht="127" customHeight="1" thickTop="1" thickBot="1" x14ac:dyDescent="0.4">
      <c r="B263" s="870"/>
      <c r="C263" s="560"/>
      <c r="D263" s="745" t="s">
        <v>447</v>
      </c>
      <c r="E263" s="577"/>
      <c r="F263" s="625"/>
      <c r="G263" s="628"/>
      <c r="H263" s="628"/>
      <c r="I263" s="589"/>
      <c r="J263" s="589"/>
      <c r="K263" s="592"/>
      <c r="L263" s="589"/>
      <c r="M263" s="595"/>
      <c r="N263" s="598"/>
      <c r="O263" s="601"/>
      <c r="P263" s="595"/>
      <c r="Q263" s="604"/>
      <c r="R263" s="601"/>
      <c r="S263" s="286"/>
      <c r="T263" s="604"/>
      <c r="U263" s="142" t="s">
        <v>174</v>
      </c>
      <c r="V263" s="450" t="s">
        <v>448</v>
      </c>
      <c r="W263" s="360" t="s">
        <v>40</v>
      </c>
      <c r="X263" s="361">
        <f>IF(W263=[9]Listas!$B$46,[9]Listas!$C$46,IF(W263=[9]Listas!$B$47,[9]Listas!$C$47,IF(W263=[9]Listas!$B$48,[9]Listas!$C$48,"")))</f>
        <v>0.25</v>
      </c>
      <c r="Y263" s="362" t="str">
        <f>IF(OR(W263=[9]Listas!$F$53,W263=[9]Listas!$F$54),[9]Listas!$G$53,IF(W263=[9]Listas!$F$55,[9]Listas!$G$55,""))</f>
        <v>Probabilidad</v>
      </c>
      <c r="Z263" s="360" t="s">
        <v>43</v>
      </c>
      <c r="AA263" s="216">
        <f>+IF(Z263=[9]Listas!$E$46,[9]Listas!$F$46,IF(Z263=[9]Listas!$E$47,[9]Listas!$F$47,""))</f>
        <v>0.15</v>
      </c>
      <c r="AB263" s="217">
        <f>IFERROR(X263+AA263,"")</f>
        <v>0.4</v>
      </c>
      <c r="AC263" s="360" t="s">
        <v>57</v>
      </c>
      <c r="AD263" s="363" t="s">
        <v>58</v>
      </c>
      <c r="AE263" s="364" t="s">
        <v>59</v>
      </c>
      <c r="AF263" s="365" t="str">
        <f t="shared" si="28"/>
        <v>Baja</v>
      </c>
      <c r="AG263" s="218">
        <f>IF(Y263=[9]Listas!$G$53,AG262-(AG262*AB263),AG262)</f>
        <v>0.28799999999999998</v>
      </c>
      <c r="AH263" s="562"/>
      <c r="AI263" s="352" t="str">
        <f t="shared" si="30"/>
        <v>Mayor</v>
      </c>
      <c r="AJ263" s="205">
        <f>IF(Y263=[9]Listas!$G$55,AJ262-(AJ262*AB263),AJ262)</f>
        <v>0.8</v>
      </c>
      <c r="AK263" s="562"/>
      <c r="AL263" s="565"/>
      <c r="AM263" s="565"/>
      <c r="AN263" s="565"/>
      <c r="AO263" s="853"/>
      <c r="AP263" s="571"/>
      <c r="AQ263" s="366" t="s">
        <v>80</v>
      </c>
      <c r="AR263" s="219" t="s">
        <v>449</v>
      </c>
    </row>
    <row r="264" spans="2:44" ht="57" thickTop="1" thickBot="1" x14ac:dyDescent="0.4">
      <c r="B264" s="870"/>
      <c r="C264" s="560"/>
      <c r="D264" s="745" t="s">
        <v>447</v>
      </c>
      <c r="E264" s="577"/>
      <c r="F264" s="625"/>
      <c r="G264" s="628"/>
      <c r="H264" s="628"/>
      <c r="I264" s="589"/>
      <c r="J264" s="589"/>
      <c r="K264" s="592"/>
      <c r="L264" s="589"/>
      <c r="M264" s="595"/>
      <c r="N264" s="598"/>
      <c r="O264" s="601"/>
      <c r="P264" s="595"/>
      <c r="Q264" s="604"/>
      <c r="R264" s="601"/>
      <c r="S264" s="287"/>
      <c r="T264" s="604"/>
      <c r="U264" s="220" t="s">
        <v>180</v>
      </c>
      <c r="V264" s="445"/>
      <c r="W264" s="319"/>
      <c r="X264" s="320" t="str">
        <f>IF(W264=[9]Listas!$B$46,[9]Listas!$C$46,IF(W264=[9]Listas!$B$47,[9]Listas!$C$47,IF(W264=[9]Listas!$B$48,[9]Listas!$C$48,"")))</f>
        <v/>
      </c>
      <c r="Y264" s="321" t="str">
        <f>IF(OR(W264=[9]Listas!$F$53,W264=[9]Listas!$F$54),[9]Listas!$G$53,IF(W264=[9]Listas!$F$55,[9]Listas!$G$55,""))</f>
        <v/>
      </c>
      <c r="Z264" s="319"/>
      <c r="AA264" s="182" t="str">
        <f>+IF(Z264=[9]Listas!$E$46,[9]Listas!$F$46,IF(Z264=[9]Listas!$E$47,[9]Listas!$F$47,""))</f>
        <v/>
      </c>
      <c r="AB264" s="183" t="str">
        <f>IFERROR(X264+AA264,"")</f>
        <v/>
      </c>
      <c r="AC264" s="325"/>
      <c r="AD264" s="326"/>
      <c r="AE264" s="327"/>
      <c r="AF264" s="367" t="str">
        <f t="shared" si="28"/>
        <v>Baja</v>
      </c>
      <c r="AG264" s="221">
        <f>IF(Y264=[9]Listas!$G$53,AG263-(AG263*AB264),AG263)</f>
        <v>0.28799999999999998</v>
      </c>
      <c r="AH264" s="562"/>
      <c r="AI264" s="305" t="str">
        <f t="shared" si="30"/>
        <v>Mayor</v>
      </c>
      <c r="AJ264" s="145">
        <f>IF(Y264=[9]Listas!$G$55,AJ263-(AJ263*AB264),AJ263)</f>
        <v>0.8</v>
      </c>
      <c r="AK264" s="562"/>
      <c r="AL264" s="565"/>
      <c r="AM264" s="565"/>
      <c r="AN264" s="565"/>
      <c r="AO264" s="853"/>
      <c r="AP264" s="571"/>
      <c r="AQ264" s="368" t="s">
        <v>90</v>
      </c>
      <c r="AR264" s="222" t="s">
        <v>400</v>
      </c>
    </row>
    <row r="265" spans="2:44" ht="16" hidden="1" customHeight="1" x14ac:dyDescent="0.35">
      <c r="B265" s="870"/>
      <c r="C265" s="560"/>
      <c r="D265" s="745" t="s">
        <v>447</v>
      </c>
      <c r="E265" s="577"/>
      <c r="F265" s="625"/>
      <c r="G265" s="628"/>
      <c r="H265" s="628"/>
      <c r="I265" s="589"/>
      <c r="J265" s="589"/>
      <c r="K265" s="592"/>
      <c r="L265" s="589"/>
      <c r="M265" s="595"/>
      <c r="N265" s="598"/>
      <c r="O265" s="601"/>
      <c r="P265" s="595"/>
      <c r="Q265" s="604"/>
      <c r="R265" s="601"/>
      <c r="S265" s="287"/>
      <c r="T265" s="604"/>
      <c r="U265" s="142" t="s">
        <v>190</v>
      </c>
      <c r="V265" s="418"/>
      <c r="W265" s="319"/>
      <c r="X265" s="320" t="str">
        <f>IF(W265=[9]Listas!$B$46,[9]Listas!$C$46,IF(W265=[9]Listas!$B$47,[9]Listas!$C$47,IF(W265=[9]Listas!$B$48,[9]Listas!$C$48,"")))</f>
        <v/>
      </c>
      <c r="Y265" s="321" t="str">
        <f>IF(OR(W265=[9]Listas!$F$53,W265=[9]Listas!$F$54),[9]Listas!$G$53,IF(W265=[9]Listas!$F$55,[9]Listas!$G$55,""))</f>
        <v/>
      </c>
      <c r="Z265" s="319"/>
      <c r="AA265" s="182" t="str">
        <f>+IF(Z265=[9]Listas!$E$46,[9]Listas!$F$46,IF(Z265=[9]Listas!$E$47,[9]Listas!$F$47,""))</f>
        <v/>
      </c>
      <c r="AB265" s="183" t="str">
        <f t="shared" ref="AB265:AB271" si="36">IFERROR(X265+AA265,"")</f>
        <v/>
      </c>
      <c r="AC265" s="328"/>
      <c r="AD265" s="329"/>
      <c r="AE265" s="330"/>
      <c r="AF265" s="305" t="str">
        <f t="shared" si="28"/>
        <v>Baja</v>
      </c>
      <c r="AG265" s="145">
        <f>IF(Y265=[9]Listas!$G$53,AG264-(AG264*AB265),AG264)</f>
        <v>0.28799999999999998</v>
      </c>
      <c r="AH265" s="562"/>
      <c r="AI265" s="305" t="str">
        <f t="shared" si="30"/>
        <v>Mayor</v>
      </c>
      <c r="AJ265" s="145">
        <f>IF(Y265=[9]Listas!$G$55,AJ264-(AJ264*AB265),AJ264)</f>
        <v>0.8</v>
      </c>
      <c r="AK265" s="562"/>
      <c r="AL265" s="565"/>
      <c r="AM265" s="565"/>
      <c r="AN265" s="565"/>
      <c r="AO265" s="853"/>
      <c r="AP265" s="571"/>
      <c r="AQ265" s="369"/>
      <c r="AR265" s="199"/>
    </row>
    <row r="266" spans="2:44" ht="16" hidden="1" customHeight="1" x14ac:dyDescent="0.35">
      <c r="B266" s="870"/>
      <c r="C266" s="560"/>
      <c r="D266" s="745" t="s">
        <v>447</v>
      </c>
      <c r="E266" s="577"/>
      <c r="F266" s="625"/>
      <c r="G266" s="628"/>
      <c r="H266" s="628"/>
      <c r="I266" s="589"/>
      <c r="J266" s="589"/>
      <c r="K266" s="592"/>
      <c r="L266" s="589"/>
      <c r="M266" s="595"/>
      <c r="N266" s="598"/>
      <c r="O266" s="601"/>
      <c r="P266" s="595"/>
      <c r="Q266" s="604"/>
      <c r="R266" s="601"/>
      <c r="S266" s="287"/>
      <c r="T266" s="604"/>
      <c r="U266" s="142" t="s">
        <v>198</v>
      </c>
      <c r="V266" s="418"/>
      <c r="W266" s="331"/>
      <c r="X266" s="320" t="str">
        <f>IF(W266=[9]Listas!$B$46,[9]Listas!$C$46,IF(W266=[9]Listas!$B$47,[9]Listas!$C$47,IF(W266=[9]Listas!$B$48,[9]Listas!$C$48,"")))</f>
        <v/>
      </c>
      <c r="Y266" s="321" t="str">
        <f>IF(OR(W266=[9]Listas!$F$53,W266=[9]Listas!$F$54),[9]Listas!$G$53,IF(W266=[9]Listas!$F$55,[9]Listas!$G$55,""))</f>
        <v/>
      </c>
      <c r="Z266" s="331"/>
      <c r="AA266" s="182" t="str">
        <f>+IF(Z266=[9]Listas!$E$46,[9]Listas!$F$46,IF(Z266=[9]Listas!$E$47,[9]Listas!$F$47,""))</f>
        <v/>
      </c>
      <c r="AB266" s="183" t="str">
        <f t="shared" si="36"/>
        <v/>
      </c>
      <c r="AC266" s="319"/>
      <c r="AD266" s="322"/>
      <c r="AE266" s="323"/>
      <c r="AF266" s="305" t="str">
        <f t="shared" si="28"/>
        <v>Baja</v>
      </c>
      <c r="AG266" s="145">
        <f>IF(Y266=[9]Listas!$G$53,AG265-(AG265*AB266),AG265)</f>
        <v>0.28799999999999998</v>
      </c>
      <c r="AH266" s="562"/>
      <c r="AI266" s="305" t="str">
        <f t="shared" si="30"/>
        <v>Mayor</v>
      </c>
      <c r="AJ266" s="145">
        <f>IF(Y266=[9]Listas!$G$55,AJ265-(AJ265*AB266),AJ265)</f>
        <v>0.8</v>
      </c>
      <c r="AK266" s="562"/>
      <c r="AL266" s="565"/>
      <c r="AM266" s="565"/>
      <c r="AN266" s="565"/>
      <c r="AO266" s="853"/>
      <c r="AP266" s="571"/>
      <c r="AQ266" s="343"/>
      <c r="AR266" s="191"/>
    </row>
    <row r="267" spans="2:44" ht="16" hidden="1" customHeight="1" thickTop="1" x14ac:dyDescent="0.35">
      <c r="B267" s="870"/>
      <c r="C267" s="560"/>
      <c r="D267" s="745" t="s">
        <v>447</v>
      </c>
      <c r="E267" s="577"/>
      <c r="F267" s="625"/>
      <c r="G267" s="628"/>
      <c r="H267" s="628"/>
      <c r="I267" s="589"/>
      <c r="J267" s="589"/>
      <c r="K267" s="592"/>
      <c r="L267" s="589"/>
      <c r="M267" s="595"/>
      <c r="N267" s="598"/>
      <c r="O267" s="601"/>
      <c r="P267" s="595"/>
      <c r="Q267" s="604"/>
      <c r="R267" s="601"/>
      <c r="S267" s="288"/>
      <c r="T267" s="604"/>
      <c r="U267" s="142" t="s">
        <v>208</v>
      </c>
      <c r="V267" s="418"/>
      <c r="W267" s="331"/>
      <c r="X267" s="320" t="str">
        <f>IF(W267=[9]Listas!$B$46,[9]Listas!$C$46,IF(W267=[9]Listas!$B$47,[9]Listas!$C$47,IF(W267=[9]Listas!$B$48,[9]Listas!$C$48,"")))</f>
        <v/>
      </c>
      <c r="Y267" s="321" t="str">
        <f>IF(OR(W267=[9]Listas!$F$53,W267=[9]Listas!$F$54),[9]Listas!$G$53,IF(W267=[9]Listas!$F$55,[9]Listas!$G$55,""))</f>
        <v/>
      </c>
      <c r="Z267" s="331"/>
      <c r="AA267" s="182" t="str">
        <f>+IF(Z267=[9]Listas!$E$46,[9]Listas!$F$46,IF(Z267=[9]Listas!$E$47,[9]Listas!$F$47,""))</f>
        <v/>
      </c>
      <c r="AB267" s="183" t="str">
        <f t="shared" si="36"/>
        <v/>
      </c>
      <c r="AC267" s="319"/>
      <c r="AD267" s="322"/>
      <c r="AE267" s="323"/>
      <c r="AF267" s="305" t="str">
        <f t="shared" si="28"/>
        <v>Baja</v>
      </c>
      <c r="AG267" s="145">
        <f>IF(Y267=[9]Listas!$G$53,AG266-(AG266*AB267),AG266)</f>
        <v>0.28799999999999998</v>
      </c>
      <c r="AH267" s="562"/>
      <c r="AI267" s="305" t="str">
        <f t="shared" si="30"/>
        <v>Mayor</v>
      </c>
      <c r="AJ267" s="145">
        <f>IF(Y267=[9]Listas!$G$55,AJ266-(AJ266*AB267),AJ266)</f>
        <v>0.8</v>
      </c>
      <c r="AK267" s="562"/>
      <c r="AL267" s="565"/>
      <c r="AM267" s="565"/>
      <c r="AN267" s="565"/>
      <c r="AO267" s="853"/>
      <c r="AP267" s="571"/>
      <c r="AQ267" s="343"/>
      <c r="AR267" s="191"/>
    </row>
    <row r="268" spans="2:44" ht="16" hidden="1" customHeight="1" thickTop="1" x14ac:dyDescent="0.35">
      <c r="B268" s="870"/>
      <c r="C268" s="560"/>
      <c r="D268" s="745" t="s">
        <v>447</v>
      </c>
      <c r="E268" s="577"/>
      <c r="F268" s="625"/>
      <c r="G268" s="628"/>
      <c r="H268" s="628"/>
      <c r="I268" s="589"/>
      <c r="J268" s="589"/>
      <c r="K268" s="592"/>
      <c r="L268" s="589"/>
      <c r="M268" s="595"/>
      <c r="N268" s="598"/>
      <c r="O268" s="601"/>
      <c r="P268" s="595"/>
      <c r="Q268" s="604"/>
      <c r="R268" s="601"/>
      <c r="S268" s="289"/>
      <c r="T268" s="604"/>
      <c r="U268" s="142" t="s">
        <v>215</v>
      </c>
      <c r="V268" s="418"/>
      <c r="W268" s="331"/>
      <c r="X268" s="320" t="str">
        <f>IF(W268=[9]Listas!$B$46,[9]Listas!$C$46,IF(W268=[9]Listas!$B$47,[9]Listas!$C$47,IF(W268=[9]Listas!$B$48,[9]Listas!$C$48,"")))</f>
        <v/>
      </c>
      <c r="Y268" s="321" t="str">
        <f>IF(OR(W268=[9]Listas!$F$53,W268=[9]Listas!$F$54),[9]Listas!$G$53,IF(W268=[9]Listas!$F$55,[9]Listas!$G$55,""))</f>
        <v/>
      </c>
      <c r="Z268" s="331"/>
      <c r="AA268" s="182" t="str">
        <f>+IF(Z268=[9]Listas!$E$46,[9]Listas!$F$46,IF(Z268=[9]Listas!$E$47,[9]Listas!$F$47,""))</f>
        <v/>
      </c>
      <c r="AB268" s="183" t="str">
        <f t="shared" si="36"/>
        <v/>
      </c>
      <c r="AC268" s="319"/>
      <c r="AD268" s="322"/>
      <c r="AE268" s="323"/>
      <c r="AF268" s="305" t="str">
        <f t="shared" ref="AF268:AF331" si="37">IF(AG268="","",IF(AG268&lt;=20%,"Muy baja",IF(AG268&lt;=40%,"Baja",IF(AG268&lt;=60%,"Media",IF(AG268&lt;=80%,"Alta","Muy alta")))))</f>
        <v>Baja</v>
      </c>
      <c r="AG268" s="145">
        <f>IF(Y268=[9]Listas!$G$53,AG267-(AG267*AB268),AG267)</f>
        <v>0.28799999999999998</v>
      </c>
      <c r="AH268" s="562"/>
      <c r="AI268" s="305" t="str">
        <f t="shared" si="30"/>
        <v>Mayor</v>
      </c>
      <c r="AJ268" s="145">
        <f>IF(Y268=[9]Listas!$G$55,AJ267-(AJ267*AB268),AJ267)</f>
        <v>0.8</v>
      </c>
      <c r="AK268" s="562"/>
      <c r="AL268" s="565"/>
      <c r="AM268" s="565"/>
      <c r="AN268" s="565"/>
      <c r="AO268" s="853"/>
      <c r="AP268" s="571"/>
      <c r="AQ268" s="344"/>
      <c r="AR268" s="191"/>
    </row>
    <row r="269" spans="2:44" ht="16" hidden="1" customHeight="1" thickTop="1" x14ac:dyDescent="0.35">
      <c r="B269" s="870"/>
      <c r="C269" s="560"/>
      <c r="D269" s="745" t="s">
        <v>447</v>
      </c>
      <c r="E269" s="577"/>
      <c r="F269" s="625"/>
      <c r="G269" s="628"/>
      <c r="H269" s="628"/>
      <c r="I269" s="589"/>
      <c r="J269" s="589"/>
      <c r="K269" s="592"/>
      <c r="L269" s="589"/>
      <c r="M269" s="595"/>
      <c r="N269" s="598"/>
      <c r="O269" s="601"/>
      <c r="P269" s="595"/>
      <c r="Q269" s="604"/>
      <c r="R269" s="601"/>
      <c r="S269" s="289"/>
      <c r="T269" s="604"/>
      <c r="U269" s="142" t="s">
        <v>220</v>
      </c>
      <c r="V269" s="418"/>
      <c r="W269" s="331"/>
      <c r="X269" s="320" t="str">
        <f>IF(W269=[9]Listas!$B$46,[9]Listas!$C$46,IF(W269=[9]Listas!$B$47,[9]Listas!$C$47,IF(W269=[9]Listas!$B$48,[9]Listas!$C$48,"")))</f>
        <v/>
      </c>
      <c r="Y269" s="321" t="str">
        <f>IF(OR(W269=[9]Listas!$F$53,W269=[9]Listas!$F$54),[9]Listas!$G$53,IF(W269=[9]Listas!$F$55,[9]Listas!$G$55,""))</f>
        <v/>
      </c>
      <c r="Z269" s="331"/>
      <c r="AA269" s="182" t="str">
        <f>+IF(Z269=[9]Listas!$E$46,[9]Listas!$F$46,IF(Z269=[9]Listas!$E$47,[9]Listas!$F$47,""))</f>
        <v/>
      </c>
      <c r="AB269" s="183" t="str">
        <f t="shared" si="36"/>
        <v/>
      </c>
      <c r="AC269" s="319"/>
      <c r="AD269" s="322"/>
      <c r="AE269" s="323"/>
      <c r="AF269" s="305" t="str">
        <f t="shared" si="37"/>
        <v>Baja</v>
      </c>
      <c r="AG269" s="145">
        <f>IF(Y269=[9]Listas!$G$53,AG268-(AG268*AB269),AG268)</f>
        <v>0.28799999999999998</v>
      </c>
      <c r="AH269" s="562"/>
      <c r="AI269" s="305" t="str">
        <f t="shared" si="30"/>
        <v>Mayor</v>
      </c>
      <c r="AJ269" s="145">
        <f>IF(Y269=[9]Listas!$G$55,AJ268-(AJ268*AB269),AJ268)</f>
        <v>0.8</v>
      </c>
      <c r="AK269" s="562"/>
      <c r="AL269" s="565"/>
      <c r="AM269" s="565"/>
      <c r="AN269" s="565"/>
      <c r="AO269" s="853"/>
      <c r="AP269" s="571"/>
      <c r="AQ269" s="345"/>
      <c r="AR269" s="191"/>
    </row>
    <row r="270" spans="2:44" ht="16" hidden="1" customHeight="1" thickTop="1" x14ac:dyDescent="0.35">
      <c r="B270" s="870"/>
      <c r="C270" s="560"/>
      <c r="D270" s="745" t="s">
        <v>447</v>
      </c>
      <c r="E270" s="577"/>
      <c r="F270" s="625"/>
      <c r="G270" s="628"/>
      <c r="H270" s="628"/>
      <c r="I270" s="589"/>
      <c r="J270" s="589"/>
      <c r="K270" s="592"/>
      <c r="L270" s="589"/>
      <c r="M270" s="595"/>
      <c r="N270" s="598"/>
      <c r="O270" s="601"/>
      <c r="P270" s="595"/>
      <c r="Q270" s="604"/>
      <c r="R270" s="601"/>
      <c r="S270" s="289"/>
      <c r="T270" s="604"/>
      <c r="U270" s="142" t="s">
        <v>223</v>
      </c>
      <c r="V270" s="418"/>
      <c r="W270" s="331"/>
      <c r="X270" s="320" t="str">
        <f>IF(W270=[9]Listas!$B$46,[9]Listas!$C$46,IF(W270=[9]Listas!$B$47,[9]Listas!$C$47,IF(W270=[9]Listas!$B$48,[9]Listas!$C$48,"")))</f>
        <v/>
      </c>
      <c r="Y270" s="321" t="str">
        <f>IF(OR(W270=[9]Listas!$F$53,W270=[9]Listas!$F$54),[9]Listas!$G$53,IF(W270=[9]Listas!$F$55,[9]Listas!$G$55,""))</f>
        <v/>
      </c>
      <c r="Z270" s="331"/>
      <c r="AA270" s="182" t="str">
        <f>+IF(Z270=[9]Listas!$E$46,[9]Listas!$F$46,IF(Z270=[9]Listas!$E$47,[9]Listas!$F$47,""))</f>
        <v/>
      </c>
      <c r="AB270" s="183" t="str">
        <f t="shared" si="36"/>
        <v/>
      </c>
      <c r="AC270" s="319"/>
      <c r="AD270" s="322"/>
      <c r="AE270" s="323"/>
      <c r="AF270" s="305" t="str">
        <f t="shared" si="37"/>
        <v>Baja</v>
      </c>
      <c r="AG270" s="145">
        <f>IF(Y270=[9]Listas!$G$53,AG269-(AG269*AB270),AG269)</f>
        <v>0.28799999999999998</v>
      </c>
      <c r="AH270" s="562"/>
      <c r="AI270" s="305" t="str">
        <f t="shared" si="30"/>
        <v>Mayor</v>
      </c>
      <c r="AJ270" s="145">
        <f>IF(Y270=[9]Listas!$G$55,AJ269-(AJ269*AB270),AJ269)</f>
        <v>0.8</v>
      </c>
      <c r="AK270" s="562"/>
      <c r="AL270" s="565"/>
      <c r="AM270" s="565"/>
      <c r="AN270" s="565"/>
      <c r="AO270" s="853"/>
      <c r="AP270" s="571"/>
      <c r="AQ270" s="343"/>
      <c r="AR270" s="191"/>
    </row>
    <row r="271" spans="2:44" ht="35.15" hidden="1" customHeight="1" thickTop="1" x14ac:dyDescent="0.35">
      <c r="B271" s="870"/>
      <c r="C271" s="560"/>
      <c r="D271" s="746" t="s">
        <v>447</v>
      </c>
      <c r="E271" s="578"/>
      <c r="F271" s="626"/>
      <c r="G271" s="629"/>
      <c r="H271" s="629"/>
      <c r="I271" s="590"/>
      <c r="J271" s="590"/>
      <c r="K271" s="593"/>
      <c r="L271" s="590"/>
      <c r="M271" s="596"/>
      <c r="N271" s="599"/>
      <c r="O271" s="602"/>
      <c r="P271" s="596"/>
      <c r="Q271" s="605"/>
      <c r="R271" s="602"/>
      <c r="S271" s="293"/>
      <c r="T271" s="605"/>
      <c r="U271" s="202" t="s">
        <v>224</v>
      </c>
      <c r="V271" s="416"/>
      <c r="W271" s="335"/>
      <c r="X271" s="336" t="str">
        <f>IF(W271=[9]Listas!$B$46,[9]Listas!$C$46,IF(W271=[9]Listas!$B$47,[9]Listas!$C$47,IF(W271=[9]Listas!$B$48,[9]Listas!$C$48,"")))</f>
        <v/>
      </c>
      <c r="Y271" s="337" t="str">
        <f>IF(OR(W271=[9]Listas!$F$53,W271=[9]Listas!$F$54),[9]Listas!$G$53,IF(W271=[9]Listas!$F$55,[9]Listas!$G$55,""))</f>
        <v/>
      </c>
      <c r="Z271" s="335"/>
      <c r="AA271" s="186" t="str">
        <f>+IF(Z271=[9]Listas!$E$46,[9]Listas!$F$46,IF(Z271=[9]Listas!$E$47,[9]Listas!$F$47,""))</f>
        <v/>
      </c>
      <c r="AB271" s="187" t="str">
        <f t="shared" si="36"/>
        <v/>
      </c>
      <c r="AC271" s="338"/>
      <c r="AD271" s="339"/>
      <c r="AE271" s="340"/>
      <c r="AF271" s="311" t="str">
        <f t="shared" si="37"/>
        <v>Baja</v>
      </c>
      <c r="AG271" s="179">
        <f>IF(Y271=[9]Listas!$G$53,AG270-(AG270*AB271),AG270)</f>
        <v>0.28799999999999998</v>
      </c>
      <c r="AH271" s="563"/>
      <c r="AI271" s="311" t="str">
        <f t="shared" si="30"/>
        <v>Mayor</v>
      </c>
      <c r="AJ271" s="179">
        <f>IF(Y271=[9]Listas!$G$55,AJ270-(AJ270*AB271),AJ270)</f>
        <v>0.8</v>
      </c>
      <c r="AK271" s="563"/>
      <c r="AL271" s="566"/>
      <c r="AM271" s="566"/>
      <c r="AN271" s="566"/>
      <c r="AO271" s="854"/>
      <c r="AP271" s="572"/>
      <c r="AQ271" s="359"/>
      <c r="AR271" s="192"/>
    </row>
    <row r="272" spans="2:44" ht="57" thickTop="1" thickBot="1" x14ac:dyDescent="0.4">
      <c r="B272" s="870"/>
      <c r="C272" s="560"/>
      <c r="D272" s="744" t="s">
        <v>450</v>
      </c>
      <c r="E272" s="576" t="s">
        <v>5</v>
      </c>
      <c r="F272" s="624" t="s">
        <v>451</v>
      </c>
      <c r="G272" s="627" t="s">
        <v>452</v>
      </c>
      <c r="H272" s="627" t="s">
        <v>453</v>
      </c>
      <c r="I272" s="588" t="s">
        <v>28</v>
      </c>
      <c r="J272" s="588" t="s">
        <v>22</v>
      </c>
      <c r="K272" s="591" t="s">
        <v>454</v>
      </c>
      <c r="L272" s="588" t="s">
        <v>186</v>
      </c>
      <c r="M272" s="594" t="s">
        <v>169</v>
      </c>
      <c r="N272" s="597" t="str">
        <f>+IF(M272="","",IF(M272=$BO$15,$BN$15,IF(M272=$BO$16,$BN$16,IF(M272=$BO$17,$BN$17,IF(M272=$BO$18,$BN$18,IF(M272=$BO$19,$BN$19))))))</f>
        <v>Alta</v>
      </c>
      <c r="O272" s="600">
        <f>+IF(M272="","",IF(M272=$BO$15,$BR$15,IF(M272=$BO$16,$BR$16,IF(M272=$BO$17,$BR$17,IF(M272=$BO$18,$BR$18,IF(M272=$BO$19,$BR$19))))))</f>
        <v>0.8</v>
      </c>
      <c r="P272" s="594" t="s">
        <v>219</v>
      </c>
      <c r="Q272" s="603" t="str">
        <f>+IF(P272="","",IF(P272='[9]Mapa de Calor inherente'!$AF$6,'[9]Mapa de Calor inherente'!$AD$6,IF(P272='[9]Mapa de Calor inherente'!$AF$7,'[9]Mapa de Calor inherente'!$AD$7,IF(P272='[9]Mapa de Calor inherente'!$AF$8,'[9]Mapa de Calor inherente'!$AD$8,IF(P272='[9]Mapa de Calor inherente'!$AF$9,'[9]Mapa de Calor inherente'!$AD$9,IF(P272='[9]Mapa de Calor inherente'!$AF$10,'[9]Mapa de Calor inherente'!$AD$10,IF(P272='[9]Mapa de Calor inherente'!$AG$6,'[9]Mapa de Calor inherente'!$AD$6,IF(P272='[9]Mapa de Calor inherente'!$AG$7,'[9]Mapa de Calor inherente'!$AD$7,IF(P272='[9]Mapa de Calor inherente'!$AG$8,'[9]Mapa de Calor inherente'!$AD$8,IF(P272='[9]Mapa de Calor inherente'!$AG$9,'[9]Mapa de Calor inherente'!$AD$9,IF(P272='[9]Mapa de Calor inherente'!$AG$10,'[9]Mapa de Calor inherente'!$AD$10,IF(P272='[9]Mapa de Calor inherente'!$AD$8,'[9]Mapa de Calor inherente'!$AD$8,IF(P272='[9]Mapa de Calor inherente'!$AD$9,'[9]Mapa de Calor inherente'!$AD$9,IF(P272='[9]Mapa de Calor inherente'!$AD$10,'[9]Mapa de Calor inherente'!$AD$10))))))))))))))</f>
        <v>Mayor</v>
      </c>
      <c r="R272" s="600">
        <f>+IF(P272="","",IF(P272='[9]Mapa de Calor inherente'!$AF$6,'[9]Mapa de Calor inherente'!$AE$6,IF(P272='[9]Mapa de Calor inherente'!$AF$7,'[9]Mapa de Calor inherente'!$AE$7,IF(P272='[9]Mapa de Calor inherente'!$AF$8,'[9]Mapa de Calor inherente'!$AE$8,IF(P272='[9]Mapa de Calor inherente'!$AF$9,'[9]Mapa de Calor inherente'!$AE$9,IF(P272='[9]Mapa de Calor inherente'!$AF$10,'[9]Mapa de Calor inherente'!$AE$10,IF(P272='[9]Mapa de Calor inherente'!$AG$6,'[9]Mapa de Calor inherente'!$AE$6,IF(P272='[9]Mapa de Calor inherente'!$AG$7,'[9]Mapa de Calor inherente'!$AE$7,IF(P272='[9]Mapa de Calor inherente'!$AG$8,'[9]Mapa de Calor inherente'!$AE$8,IF(P272='[9]Mapa de Calor inherente'!$AG$9,'[9]Mapa de Calor inherente'!$AE$9,IF(P272='[9]Mapa de Calor inherente'!$AG$10,'[9]Mapa de Calor inherente'!$AE$10,IF(P272='[9]Mapa de Calor inherente'!$AD$8,'[9]Mapa de Calor inherente'!$AE$8,IF(P272='[9]Mapa de Calor inherente'!$AD$9,'[9]Mapa de Calor inherente'!$AE$9,IF(P272='[9]Mapa de Calor inherente'!$AD$10,'[9]Mapa de Calor inherente'!$AE$10))))))))))))))</f>
        <v>0.8</v>
      </c>
      <c r="S272" s="292" t="e">
        <f>IF(N272="","",IF(R272="","",(N272*R272)))</f>
        <v>#VALUE!</v>
      </c>
      <c r="T272" s="603" t="str">
        <f>+IF(N272=$BB$17,IF(Q272=$BC$16,$BC$17,IF(Q272=$BD$16,$BD$17,IF(Q272=$BE$16,$BE$17,IF(Q272=$BF$16,$BF$17,IF(Q272=$BG$16,$BG$17))))),IF(N272=$BB$18,IF(Q272=$BC$16,$BC$18,IF(Q272=$BD$16,$BD$18,IF(Q272=$BE$16,$BE$18,IF(Q272=$BF$16,$BF$18,IF(Q272=$BG$16,$BG$18))))),IF(N272=$BB$19,IF(Q272=$BC$16,$BC$19,IF(Q272=$BD$16,$BD$19,IF(Q272=$BE$16,$BE$19,IF(Q272=$BF$16,$BF$19,IF(Q272=$BG$16,$BG$19))))),IF(N272=$BB$20,IF(Q272=$BC$16,$BC$20,IF(Q272=$BD$16,$BD$20,IF(Q272=$BE$16,$BE$20,IF(Q272=$BF$16,$BF$20,IF(Q272=$BG$16,$BG$20))))),IF(N272=$BB$21,IF(Q272=$BC$16,$BC$21,IF(Q272=$BD$16,$BD$21,IF(Q272=$BE$16,$BE$21,IF(Q272=$BF$16,$BF$21,IF(Q272=$BG$16,$BG$21))))),"")))))</f>
        <v>Alto</v>
      </c>
      <c r="U272" s="139" t="s">
        <v>171</v>
      </c>
      <c r="V272" s="437" t="s">
        <v>455</v>
      </c>
      <c r="W272" s="313" t="s">
        <v>40</v>
      </c>
      <c r="X272" s="314">
        <f>IF(W272=[9]Listas!$B$46,[9]Listas!$C$46,IF(W272=[9]Listas!$B$47,[9]Listas!$C$47,IF(W272=[9]Listas!$B$48,[9]Listas!$C$48,"")))</f>
        <v>0.25</v>
      </c>
      <c r="Y272" s="315" t="str">
        <f>IF(OR(W272=[9]Listas!$F$53,W272=[9]Listas!$F$54),[9]Listas!$G$53,IF(W272=[9]Listas!$F$55,[9]Listas!$G$55,""))</f>
        <v>Probabilidad</v>
      </c>
      <c r="Z272" s="313" t="s">
        <v>43</v>
      </c>
      <c r="AA272" s="314">
        <f>+IF(Z272=[9]Listas!$E$46,[9]Listas!$F$46,IF(Z272=[9]Listas!$E$47,[9]Listas!$F$47,""))</f>
        <v>0.15</v>
      </c>
      <c r="AB272" s="181">
        <f>IFERROR(X272+AA272,"")</f>
        <v>0.4</v>
      </c>
      <c r="AC272" s="313" t="s">
        <v>57</v>
      </c>
      <c r="AD272" s="316" t="s">
        <v>58</v>
      </c>
      <c r="AE272" s="317" t="s">
        <v>59</v>
      </c>
      <c r="AF272" s="299" t="str">
        <f t="shared" si="37"/>
        <v>Media</v>
      </c>
      <c r="AG272" s="141">
        <f>IF(Y272=[9]Listas!$G$53,O272-(O272*AB272),O272)</f>
        <v>0.48</v>
      </c>
      <c r="AH272" s="561">
        <f>+IF(AG281="","",AG281)</f>
        <v>0.17279999999999998</v>
      </c>
      <c r="AI272" s="299" t="str">
        <f>IF(AJ272="","",IF(AJ272&lt;=20%,"Leve",IF(AJ272&lt;=40%,"Menor",IF(AJ272&lt;=60%,"Moderado",IF(AJ272&lt;=80%,"Mayor","Catastrófico")))))</f>
        <v>Mayor</v>
      </c>
      <c r="AJ272" s="141">
        <f>IF(Y272=[9]Listas!$G$55,R272-(R272*AB272),R272)</f>
        <v>0.8</v>
      </c>
      <c r="AK272" s="561">
        <f>+IF(AJ281="","",AJ281)</f>
        <v>0.33800000000000002</v>
      </c>
      <c r="AL272" s="564" t="str">
        <f>+IF(AH272=0,"",IF(AH272&lt;=$BA$21,$BB$21,IF(AH272&lt;=$BA$20,$BB$20,IF(AH272&lt;=$BA$19,$BB$19,IF(AH272&lt;=$BA$18,$BB$18,IF(AH272&lt;=$BA$17,$BB$17,""))))))</f>
        <v>Muy Baja</v>
      </c>
      <c r="AM272" s="564" t="str">
        <f>+IF(AK272=0,"",IF(AK272&lt;=$BC$15,$BC$16,IF(AK272&lt;=$BD$15,$BD$16,IF(AK272&lt;=$BE$15,$BE$16,IF(AK272&lt;=$BF$15,$BF$16,IF(AK272&lt;=$BG$15,$BG$16,""))))))</f>
        <v>Menor</v>
      </c>
      <c r="AN272" s="564" t="str">
        <f>IF(AL272=$BB$17,IF(AM272=$BC$16,$BC$17,IF(AM272=$BD$16,$BD$17,IF(AM272=$BE$16,$BE$17,IF(AM272=$BF$16,$BF$17,IF(AM272=$BG$16,$BG$17))))),IF(AL272=$BB$18,IF(AM272=$BC$16,$BC$18,IF(AM272=$BD$16,$BD$18,IF(AM272=$BE$16,$BE$18,IF(AM272=$BF$16,$BF$18,IF(AM272=$BG$16,$BG$18))))),IF(AL272=$BB$19,IF(AM272=$BC$16,$BC$19,IF(AM272=$BD$16,$BD$19,IF(AM272=$BE$16,$BE$19,IF(AM272=$BF$16,$BF$19,IF(AM272=$BG$16,$BG$19))))),IF(AL272=$BB$20,IF(AM272=$BC$16,$BC$20,IF(AM272=$BD$16,$BD$20,IF(AM272=$BE$16,$BE$20,IF(AM272=$BF$16,$BF$20,IF(AM272=$BG$16,$BG$20))))),IF(AL272=$BB$21,IF(AM272=$BC$16,$BC$21,IF(AM272=$BD$16,$BD$21,IF(AM272=$BE$16,$BE$21,IF(AM272=$BF$16,$BF$21,IF(AM272=$BG$16,$BG$21))))),"")))))</f>
        <v>Bajo</v>
      </c>
      <c r="AO272" s="567" t="str">
        <f>IF(AP272="","",IF(AP272=[9]Listas!$F$61,[9]Listas!$G$61,IF(AP272=[9]Listas!$F$63,[9]Listas!$G$63,IF(AP272=[9]Listas!$F$64,[9]Listas!$G$64))))</f>
        <v>No requiere Plan de Acción</v>
      </c>
      <c r="AP272" s="570" t="str">
        <f>IF(AN272="","",IF(OR(AN272=[9]Listas!$E$61,AN272=[9]Listas!$E$62),[9]Listas!$F$61,IF(AN272=[9]Listas!$E$63,[9]Listas!$F$63,IF(AN272=[9]Listas!$E$64,[9]Listas!$F$64))))</f>
        <v>Aceptar  el riesgo</v>
      </c>
      <c r="AQ272" s="358" t="s">
        <v>90</v>
      </c>
      <c r="AR272" s="211" t="s">
        <v>400</v>
      </c>
    </row>
    <row r="273" spans="2:44" ht="38.25" customHeight="1" thickTop="1" thickBot="1" x14ac:dyDescent="0.4">
      <c r="B273" s="870"/>
      <c r="C273" s="560"/>
      <c r="D273" s="745" t="s">
        <v>456</v>
      </c>
      <c r="E273" s="577"/>
      <c r="F273" s="625"/>
      <c r="G273" s="628"/>
      <c r="H273" s="628"/>
      <c r="I273" s="589"/>
      <c r="J273" s="589"/>
      <c r="K273" s="592"/>
      <c r="L273" s="589"/>
      <c r="M273" s="595"/>
      <c r="N273" s="598"/>
      <c r="O273" s="601"/>
      <c r="P273" s="595"/>
      <c r="Q273" s="604"/>
      <c r="R273" s="601"/>
      <c r="S273" s="286"/>
      <c r="T273" s="604"/>
      <c r="U273" s="142" t="s">
        <v>174</v>
      </c>
      <c r="V273" s="438" t="s">
        <v>457</v>
      </c>
      <c r="W273" s="319" t="s">
        <v>40</v>
      </c>
      <c r="X273" s="320">
        <f>IF(W273=[9]Listas!$B$46,[9]Listas!$C$46,IF(W273=[9]Listas!$B$47,[9]Listas!$C$47,IF(W273=[9]Listas!$B$48,[9]Listas!$C$48,"")))</f>
        <v>0.25</v>
      </c>
      <c r="Y273" s="321" t="str">
        <f>IF(OR(W273=[9]Listas!$F$53,W273=[9]Listas!$F$54),[9]Listas!$G$53,IF(W273=[9]Listas!$F$55,[9]Listas!$G$55,""))</f>
        <v>Probabilidad</v>
      </c>
      <c r="Z273" s="319" t="s">
        <v>43</v>
      </c>
      <c r="AA273" s="182">
        <f>+IF(Z273=[9]Listas!$E$46,[9]Listas!$F$46,IF(Z273=[9]Listas!$E$47,[9]Listas!$F$47,""))</f>
        <v>0.15</v>
      </c>
      <c r="AB273" s="183">
        <f>IFERROR(X273+AA273,"")</f>
        <v>0.4</v>
      </c>
      <c r="AC273" s="319" t="s">
        <v>57</v>
      </c>
      <c r="AD273" s="322" t="s">
        <v>58</v>
      </c>
      <c r="AE273" s="323" t="s">
        <v>59</v>
      </c>
      <c r="AF273" s="305" t="str">
        <f t="shared" si="37"/>
        <v>Baja</v>
      </c>
      <c r="AG273" s="145">
        <f>IF(Y273=[9]Listas!$G$53,AG272-(AG272*AB273),AG272)</f>
        <v>0.28799999999999998</v>
      </c>
      <c r="AH273" s="562"/>
      <c r="AI273" s="305" t="str">
        <f t="shared" si="30"/>
        <v>Mayor</v>
      </c>
      <c r="AJ273" s="145">
        <f>IF(Y273=[9]Listas!$G$55,AJ272-(AJ272*AB273),AJ272)</f>
        <v>0.8</v>
      </c>
      <c r="AK273" s="562"/>
      <c r="AL273" s="565"/>
      <c r="AM273" s="565"/>
      <c r="AN273" s="565"/>
      <c r="AO273" s="568"/>
      <c r="AP273" s="571"/>
      <c r="AQ273" s="345"/>
      <c r="AR273" s="191"/>
    </row>
    <row r="274" spans="2:44" ht="29" thickTop="1" thickBot="1" x14ac:dyDescent="0.4">
      <c r="B274" s="870"/>
      <c r="C274" s="560"/>
      <c r="D274" s="745" t="s">
        <v>456</v>
      </c>
      <c r="E274" s="577"/>
      <c r="F274" s="625"/>
      <c r="G274" s="628"/>
      <c r="H274" s="628"/>
      <c r="I274" s="589"/>
      <c r="J274" s="589"/>
      <c r="K274" s="592"/>
      <c r="L274" s="589"/>
      <c r="M274" s="595"/>
      <c r="N274" s="598"/>
      <c r="O274" s="601"/>
      <c r="P274" s="595"/>
      <c r="Q274" s="604"/>
      <c r="R274" s="601"/>
      <c r="S274" s="287"/>
      <c r="T274" s="604"/>
      <c r="U274" s="142" t="s">
        <v>180</v>
      </c>
      <c r="V274" s="438" t="s">
        <v>458</v>
      </c>
      <c r="W274" s="331" t="s">
        <v>44</v>
      </c>
      <c r="X274" s="320">
        <f>IF(W274=[9]Listas!$B$46,[9]Listas!$C$46,IF(W274=[9]Listas!$B$47,[9]Listas!$C$47,IF(W274=[9]Listas!$B$48,[9]Listas!$C$48,"")))</f>
        <v>0.1</v>
      </c>
      <c r="Y274" s="321" t="str">
        <f>IF(OR(W274=[9]Listas!$F$53,W274=[9]Listas!$F$54),[9]Listas!$G$53,IF(W274=[9]Listas!$F$55,[9]Listas!$G$55,""))</f>
        <v>Impacto</v>
      </c>
      <c r="Z274" s="319" t="s">
        <v>41</v>
      </c>
      <c r="AA274" s="182">
        <f>+IF(Z274=[9]Listas!$E$46,[9]Listas!$F$46,IF(Z274=[9]Listas!$E$47,[9]Listas!$F$47,""))</f>
        <v>0.25</v>
      </c>
      <c r="AB274" s="183">
        <f>IFERROR(X274+AA274,"")</f>
        <v>0.35</v>
      </c>
      <c r="AC274" s="319" t="s">
        <v>57</v>
      </c>
      <c r="AD274" s="322" t="s">
        <v>58</v>
      </c>
      <c r="AE274" s="323" t="s">
        <v>59</v>
      </c>
      <c r="AF274" s="305" t="str">
        <f t="shared" si="37"/>
        <v>Baja</v>
      </c>
      <c r="AG274" s="145">
        <f>IF(Y274=[9]Listas!$G$53,AG273-(AG273*AB274),AG273)</f>
        <v>0.28799999999999998</v>
      </c>
      <c r="AH274" s="562"/>
      <c r="AI274" s="305" t="str">
        <f t="shared" si="30"/>
        <v>Moderado</v>
      </c>
      <c r="AJ274" s="145">
        <f>IF(Y274=[9]Listas!$G$55,AJ273-(AJ273*AB274),AJ273)</f>
        <v>0.52</v>
      </c>
      <c r="AK274" s="562"/>
      <c r="AL274" s="565"/>
      <c r="AM274" s="565"/>
      <c r="AN274" s="565"/>
      <c r="AO274" s="568"/>
      <c r="AP274" s="571"/>
      <c r="AQ274" s="345"/>
      <c r="AR274" s="191"/>
    </row>
    <row r="275" spans="2:44" ht="61.5" customHeight="1" thickTop="1" thickBot="1" x14ac:dyDescent="0.4">
      <c r="B275" s="870"/>
      <c r="C275" s="560"/>
      <c r="D275" s="745" t="s">
        <v>456</v>
      </c>
      <c r="E275" s="577"/>
      <c r="F275" s="625"/>
      <c r="G275" s="628"/>
      <c r="H275" s="628"/>
      <c r="I275" s="589"/>
      <c r="J275" s="589"/>
      <c r="K275" s="592"/>
      <c r="L275" s="589"/>
      <c r="M275" s="595"/>
      <c r="N275" s="598"/>
      <c r="O275" s="601"/>
      <c r="P275" s="595"/>
      <c r="Q275" s="604"/>
      <c r="R275" s="601"/>
      <c r="S275" s="287"/>
      <c r="T275" s="604"/>
      <c r="U275" s="142" t="s">
        <v>190</v>
      </c>
      <c r="V275" s="438" t="s">
        <v>459</v>
      </c>
      <c r="W275" s="319" t="s">
        <v>44</v>
      </c>
      <c r="X275" s="320">
        <f>IF(W275=[9]Listas!$B$46,[9]Listas!$C$46,IF(W275=[9]Listas!$B$47,[9]Listas!$C$47,IF(W275=[9]Listas!$B$48,[9]Listas!$C$48,"")))</f>
        <v>0.1</v>
      </c>
      <c r="Y275" s="321" t="str">
        <f>IF(OR(W275=[9]Listas!$F$53,W275=[9]Listas!$F$54),[9]Listas!$G$53,IF(W275=[9]Listas!$F$55,[9]Listas!$G$55,""))</f>
        <v>Impacto</v>
      </c>
      <c r="Z275" s="319" t="s">
        <v>41</v>
      </c>
      <c r="AA275" s="182">
        <f>+IF(Z275=[9]Listas!$E$46,[9]Listas!$F$46,IF(Z275=[9]Listas!$E$47,[9]Listas!$F$47,""))</f>
        <v>0.25</v>
      </c>
      <c r="AB275" s="183">
        <f t="shared" ref="AB275:AB281" si="38">IFERROR(X275+AA275,"")</f>
        <v>0.35</v>
      </c>
      <c r="AC275" s="319" t="s">
        <v>57</v>
      </c>
      <c r="AD275" s="322" t="s">
        <v>58</v>
      </c>
      <c r="AE275" s="323" t="s">
        <v>59</v>
      </c>
      <c r="AF275" s="305" t="str">
        <f t="shared" si="37"/>
        <v>Baja</v>
      </c>
      <c r="AG275" s="145">
        <f>IF(Y275=[9]Listas!$G$53,AG274-(AG274*AB275),AG274)</f>
        <v>0.28799999999999998</v>
      </c>
      <c r="AH275" s="562"/>
      <c r="AI275" s="305" t="str">
        <f t="shared" si="30"/>
        <v>Menor</v>
      </c>
      <c r="AJ275" s="145">
        <f>IF(Y275=[9]Listas!$G$55,AJ274-(AJ274*AB275),AJ274)</f>
        <v>0.33800000000000002</v>
      </c>
      <c r="AK275" s="562"/>
      <c r="AL275" s="565"/>
      <c r="AM275" s="565"/>
      <c r="AN275" s="565"/>
      <c r="AO275" s="568"/>
      <c r="AP275" s="571"/>
      <c r="AQ275" s="343"/>
      <c r="AR275" s="191"/>
    </row>
    <row r="276" spans="2:44" ht="48.75" customHeight="1" thickTop="1" thickBot="1" x14ac:dyDescent="0.4">
      <c r="B276" s="870"/>
      <c r="C276" s="560"/>
      <c r="D276" s="745" t="s">
        <v>456</v>
      </c>
      <c r="E276" s="577"/>
      <c r="F276" s="625"/>
      <c r="G276" s="628"/>
      <c r="H276" s="628"/>
      <c r="I276" s="589"/>
      <c r="J276" s="589"/>
      <c r="K276" s="592"/>
      <c r="L276" s="589"/>
      <c r="M276" s="595"/>
      <c r="N276" s="598"/>
      <c r="O276" s="601"/>
      <c r="P276" s="595"/>
      <c r="Q276" s="604"/>
      <c r="R276" s="601"/>
      <c r="S276" s="287"/>
      <c r="T276" s="604"/>
      <c r="U276" s="142" t="s">
        <v>198</v>
      </c>
      <c r="V276" s="438" t="s">
        <v>460</v>
      </c>
      <c r="W276" s="331" t="s">
        <v>40</v>
      </c>
      <c r="X276" s="320">
        <f>IF(W276=[9]Listas!$B$46,[9]Listas!$C$46,IF(W276=[9]Listas!$B$47,[9]Listas!$C$47,IF(W276=[9]Listas!$B$48,[9]Listas!$C$48,"")))</f>
        <v>0.25</v>
      </c>
      <c r="Y276" s="321" t="str">
        <f>IF(OR(W276=[9]Listas!$F$53,W276=[9]Listas!$F$54),[9]Listas!$G$53,IF(W276=[9]Listas!$F$55,[9]Listas!$G$55,""))</f>
        <v>Probabilidad</v>
      </c>
      <c r="Z276" s="331" t="s">
        <v>43</v>
      </c>
      <c r="AA276" s="182">
        <f>+IF(Z276=[9]Listas!$E$46,[9]Listas!$F$46,IF(Z276=[9]Listas!$E$47,[9]Listas!$F$47,""))</f>
        <v>0.15</v>
      </c>
      <c r="AB276" s="183">
        <f t="shared" si="38"/>
        <v>0.4</v>
      </c>
      <c r="AC276" s="319" t="s">
        <v>57</v>
      </c>
      <c r="AD276" s="322" t="s">
        <v>58</v>
      </c>
      <c r="AE276" s="323" t="s">
        <v>59</v>
      </c>
      <c r="AF276" s="305" t="str">
        <f t="shared" si="37"/>
        <v>Muy baja</v>
      </c>
      <c r="AG276" s="145">
        <f>IF(Y276=[9]Listas!$G$53,AG275-(AG275*AB276),AG275)</f>
        <v>0.17279999999999998</v>
      </c>
      <c r="AH276" s="562"/>
      <c r="AI276" s="305" t="str">
        <f t="shared" si="30"/>
        <v>Menor</v>
      </c>
      <c r="AJ276" s="145">
        <f>IF(Y276=[9]Listas!$G$55,AJ275-(AJ275*AB276),AJ275)</f>
        <v>0.33800000000000002</v>
      </c>
      <c r="AK276" s="562"/>
      <c r="AL276" s="565"/>
      <c r="AM276" s="565"/>
      <c r="AN276" s="565"/>
      <c r="AO276" s="568"/>
      <c r="AP276" s="571"/>
      <c r="AQ276" s="343"/>
      <c r="AR276" s="191"/>
    </row>
    <row r="277" spans="2:44" ht="15.75" hidden="1" customHeight="1" thickBot="1" x14ac:dyDescent="0.4">
      <c r="B277" s="870"/>
      <c r="C277" s="560"/>
      <c r="D277" s="745" t="s">
        <v>456</v>
      </c>
      <c r="E277" s="577"/>
      <c r="F277" s="625"/>
      <c r="G277" s="628"/>
      <c r="H277" s="628"/>
      <c r="I277" s="589"/>
      <c r="J277" s="589"/>
      <c r="K277" s="592"/>
      <c r="L277" s="589"/>
      <c r="M277" s="595"/>
      <c r="N277" s="598"/>
      <c r="O277" s="601"/>
      <c r="P277" s="595"/>
      <c r="Q277" s="604"/>
      <c r="R277" s="601"/>
      <c r="S277" s="288"/>
      <c r="T277" s="604"/>
      <c r="U277" s="142" t="s">
        <v>208</v>
      </c>
      <c r="V277" s="418"/>
      <c r="W277" s="331"/>
      <c r="X277" s="320" t="str">
        <f>IF(W277=[9]Listas!$B$46,[9]Listas!$C$46,IF(W277=[9]Listas!$B$47,[9]Listas!$C$47,IF(W277=[9]Listas!$B$48,[9]Listas!$C$48,"")))</f>
        <v/>
      </c>
      <c r="Y277" s="321" t="str">
        <f>IF(OR(W277=[9]Listas!$F$53,W277=[9]Listas!$F$54),[9]Listas!$G$53,IF(W277=[9]Listas!$F$55,[9]Listas!$G$55,""))</f>
        <v/>
      </c>
      <c r="Z277" s="331"/>
      <c r="AA277" s="182" t="str">
        <f>+IF(Z277=[9]Listas!$E$46,[9]Listas!$F$46,IF(Z277=[9]Listas!$E$47,[9]Listas!$F$47,""))</f>
        <v/>
      </c>
      <c r="AB277" s="183" t="str">
        <f t="shared" si="38"/>
        <v/>
      </c>
      <c r="AC277" s="319"/>
      <c r="AD277" s="322"/>
      <c r="AE277" s="323"/>
      <c r="AF277" s="305" t="str">
        <f t="shared" si="37"/>
        <v>Muy baja</v>
      </c>
      <c r="AG277" s="145">
        <f>IF(Y277=[9]Listas!$G$53,AG276-(AG276*AB277),AG276)</f>
        <v>0.17279999999999998</v>
      </c>
      <c r="AH277" s="562"/>
      <c r="AI277" s="305" t="str">
        <f t="shared" ref="AI277:AI281" si="39">IF(AJ277="","",IF(AJ277&lt;=20%,"Leve",IF(AJ277&lt;=40%,"Menor",IF(AJ277&lt;=60%,"Moderado",IF(AJ277&lt;=80%,"Mayor","Catastrófico")))))</f>
        <v>Menor</v>
      </c>
      <c r="AJ277" s="145">
        <f>IF(Y277=[9]Listas!$G$55,AJ276-(AJ276*AB277),AJ276)</f>
        <v>0.33800000000000002</v>
      </c>
      <c r="AK277" s="562"/>
      <c r="AL277" s="565"/>
      <c r="AM277" s="565"/>
      <c r="AN277" s="565"/>
      <c r="AO277" s="568"/>
      <c r="AP277" s="571"/>
      <c r="AQ277" s="343"/>
      <c r="AR277" s="191"/>
    </row>
    <row r="278" spans="2:44" ht="16" hidden="1" customHeight="1" x14ac:dyDescent="0.35">
      <c r="B278" s="870"/>
      <c r="C278" s="560"/>
      <c r="D278" s="745" t="s">
        <v>456</v>
      </c>
      <c r="E278" s="577"/>
      <c r="F278" s="625"/>
      <c r="G278" s="628"/>
      <c r="H278" s="628"/>
      <c r="I278" s="589"/>
      <c r="J278" s="589"/>
      <c r="K278" s="592"/>
      <c r="L278" s="589"/>
      <c r="M278" s="595"/>
      <c r="N278" s="598"/>
      <c r="O278" s="601"/>
      <c r="P278" s="595"/>
      <c r="Q278" s="604"/>
      <c r="R278" s="601"/>
      <c r="S278" s="289"/>
      <c r="T278" s="604"/>
      <c r="U278" s="142" t="s">
        <v>215</v>
      </c>
      <c r="V278" s="418"/>
      <c r="W278" s="331"/>
      <c r="X278" s="320" t="str">
        <f>IF(W278=[9]Listas!$B$46,[9]Listas!$C$46,IF(W278=[9]Listas!$B$47,[9]Listas!$C$47,IF(W278=[9]Listas!$B$48,[9]Listas!$C$48,"")))</f>
        <v/>
      </c>
      <c r="Y278" s="321" t="str">
        <f>IF(OR(W278=[9]Listas!$F$53,W278=[9]Listas!$F$54),[9]Listas!$G$53,IF(W278=[9]Listas!$F$55,[9]Listas!$G$55,""))</f>
        <v/>
      </c>
      <c r="Z278" s="331"/>
      <c r="AA278" s="182" t="str">
        <f>+IF(Z278=[9]Listas!$E$46,[9]Listas!$F$46,IF(Z278=[9]Listas!$E$47,[9]Listas!$F$47,""))</f>
        <v/>
      </c>
      <c r="AB278" s="183" t="str">
        <f t="shared" si="38"/>
        <v/>
      </c>
      <c r="AC278" s="319"/>
      <c r="AD278" s="322"/>
      <c r="AE278" s="323"/>
      <c r="AF278" s="305" t="str">
        <f t="shared" si="37"/>
        <v>Muy baja</v>
      </c>
      <c r="AG278" s="145">
        <f>IF(Y278=[9]Listas!$G$53,AG277-(AG277*AB278),AG277)</f>
        <v>0.17279999999999998</v>
      </c>
      <c r="AH278" s="562"/>
      <c r="AI278" s="305" t="str">
        <f t="shared" si="39"/>
        <v>Menor</v>
      </c>
      <c r="AJ278" s="145">
        <f>IF(Y278=[9]Listas!$G$55,AJ277-(AJ277*AB278),AJ277)</f>
        <v>0.33800000000000002</v>
      </c>
      <c r="AK278" s="562"/>
      <c r="AL278" s="565"/>
      <c r="AM278" s="565"/>
      <c r="AN278" s="565"/>
      <c r="AO278" s="568"/>
      <c r="AP278" s="571"/>
      <c r="AQ278" s="344"/>
      <c r="AR278" s="191"/>
    </row>
    <row r="279" spans="2:44" ht="16" hidden="1" customHeight="1" thickTop="1" x14ac:dyDescent="0.35">
      <c r="B279" s="870"/>
      <c r="C279" s="560"/>
      <c r="D279" s="745" t="s">
        <v>456</v>
      </c>
      <c r="E279" s="577"/>
      <c r="F279" s="625"/>
      <c r="G279" s="628"/>
      <c r="H279" s="628"/>
      <c r="I279" s="589"/>
      <c r="J279" s="589"/>
      <c r="K279" s="592"/>
      <c r="L279" s="589"/>
      <c r="M279" s="595"/>
      <c r="N279" s="598"/>
      <c r="O279" s="601"/>
      <c r="P279" s="595"/>
      <c r="Q279" s="604"/>
      <c r="R279" s="601"/>
      <c r="S279" s="289"/>
      <c r="T279" s="604"/>
      <c r="U279" s="142" t="s">
        <v>220</v>
      </c>
      <c r="V279" s="418"/>
      <c r="W279" s="331"/>
      <c r="X279" s="320" t="str">
        <f>IF(W279=[9]Listas!$B$46,[9]Listas!$C$46,IF(W279=[9]Listas!$B$47,[9]Listas!$C$47,IF(W279=[9]Listas!$B$48,[9]Listas!$C$48,"")))</f>
        <v/>
      </c>
      <c r="Y279" s="321" t="str">
        <f>IF(OR(W279=[9]Listas!$F$53,W279=[9]Listas!$F$54),[9]Listas!$G$53,IF(W279=[9]Listas!$F$55,[9]Listas!$G$55,""))</f>
        <v/>
      </c>
      <c r="Z279" s="331"/>
      <c r="AA279" s="182" t="str">
        <f>+IF(Z279=[9]Listas!$E$46,[9]Listas!$F$46,IF(Z279=[9]Listas!$E$47,[9]Listas!$F$47,""))</f>
        <v/>
      </c>
      <c r="AB279" s="183" t="str">
        <f t="shared" si="38"/>
        <v/>
      </c>
      <c r="AC279" s="319"/>
      <c r="AD279" s="322"/>
      <c r="AE279" s="323"/>
      <c r="AF279" s="305" t="str">
        <f t="shared" si="37"/>
        <v>Muy baja</v>
      </c>
      <c r="AG279" s="145">
        <f>IF(Y279=[9]Listas!$G$53,AG278-(AG278*AB279),AG278)</f>
        <v>0.17279999999999998</v>
      </c>
      <c r="AH279" s="562"/>
      <c r="AI279" s="305" t="str">
        <f t="shared" si="39"/>
        <v>Menor</v>
      </c>
      <c r="AJ279" s="145">
        <f>IF(Y279=[9]Listas!$G$55,AJ278-(AJ278*AB279),AJ278)</f>
        <v>0.33800000000000002</v>
      </c>
      <c r="AK279" s="562"/>
      <c r="AL279" s="565"/>
      <c r="AM279" s="565"/>
      <c r="AN279" s="565"/>
      <c r="AO279" s="568"/>
      <c r="AP279" s="571"/>
      <c r="AQ279" s="345"/>
      <c r="AR279" s="191"/>
    </row>
    <row r="280" spans="2:44" ht="16" hidden="1" customHeight="1" thickTop="1" x14ac:dyDescent="0.35">
      <c r="B280" s="870"/>
      <c r="C280" s="560"/>
      <c r="D280" s="745" t="s">
        <v>456</v>
      </c>
      <c r="E280" s="577"/>
      <c r="F280" s="625"/>
      <c r="G280" s="628"/>
      <c r="H280" s="628"/>
      <c r="I280" s="589"/>
      <c r="J280" s="589"/>
      <c r="K280" s="592"/>
      <c r="L280" s="589"/>
      <c r="M280" s="595"/>
      <c r="N280" s="598"/>
      <c r="O280" s="601"/>
      <c r="P280" s="595"/>
      <c r="Q280" s="604"/>
      <c r="R280" s="601"/>
      <c r="S280" s="289"/>
      <c r="T280" s="604"/>
      <c r="U280" s="142" t="s">
        <v>223</v>
      </c>
      <c r="V280" s="418"/>
      <c r="W280" s="331"/>
      <c r="X280" s="320" t="str">
        <f>IF(W280=[9]Listas!$B$46,[9]Listas!$C$46,IF(W280=[9]Listas!$B$47,[9]Listas!$C$47,IF(W280=[9]Listas!$B$48,[9]Listas!$C$48,"")))</f>
        <v/>
      </c>
      <c r="Y280" s="321" t="str">
        <f>IF(OR(W280=[9]Listas!$F$53,W280=[9]Listas!$F$54),[9]Listas!$G$53,IF(W280=[9]Listas!$F$55,[9]Listas!$G$55,""))</f>
        <v/>
      </c>
      <c r="Z280" s="331"/>
      <c r="AA280" s="182" t="str">
        <f>+IF(Z280=[9]Listas!$E$46,[9]Listas!$F$46,IF(Z280=[9]Listas!$E$47,[9]Listas!$F$47,""))</f>
        <v/>
      </c>
      <c r="AB280" s="183" t="str">
        <f t="shared" si="38"/>
        <v/>
      </c>
      <c r="AC280" s="319"/>
      <c r="AD280" s="322"/>
      <c r="AE280" s="323"/>
      <c r="AF280" s="305" t="str">
        <f t="shared" si="37"/>
        <v>Muy baja</v>
      </c>
      <c r="AG280" s="145">
        <f>IF(Y280=[9]Listas!$G$53,AG279-(AG279*AB280),AG279)</f>
        <v>0.17279999999999998</v>
      </c>
      <c r="AH280" s="562"/>
      <c r="AI280" s="305" t="str">
        <f t="shared" si="39"/>
        <v>Menor</v>
      </c>
      <c r="AJ280" s="145">
        <f>IF(Y280=[9]Listas!$G$55,AJ279-(AJ279*AB280),AJ279)</f>
        <v>0.33800000000000002</v>
      </c>
      <c r="AK280" s="562"/>
      <c r="AL280" s="565"/>
      <c r="AM280" s="565"/>
      <c r="AN280" s="565"/>
      <c r="AO280" s="568"/>
      <c r="AP280" s="571"/>
      <c r="AQ280" s="345"/>
      <c r="AR280" s="191"/>
    </row>
    <row r="281" spans="2:44" ht="16" hidden="1" customHeight="1" thickTop="1" x14ac:dyDescent="0.35">
      <c r="B281" s="870"/>
      <c r="C281" s="560"/>
      <c r="D281" s="746" t="s">
        <v>456</v>
      </c>
      <c r="E281" s="578"/>
      <c r="F281" s="626"/>
      <c r="G281" s="629"/>
      <c r="H281" s="629"/>
      <c r="I281" s="590"/>
      <c r="J281" s="590"/>
      <c r="K281" s="593"/>
      <c r="L281" s="590"/>
      <c r="M281" s="596"/>
      <c r="N281" s="599"/>
      <c r="O281" s="602"/>
      <c r="P281" s="596"/>
      <c r="Q281" s="605"/>
      <c r="R281" s="602"/>
      <c r="S281" s="293"/>
      <c r="T281" s="605"/>
      <c r="U281" s="202" t="s">
        <v>224</v>
      </c>
      <c r="V281" s="416"/>
      <c r="W281" s="335"/>
      <c r="X281" s="336" t="str">
        <f>IF(W281=[9]Listas!$B$46,[9]Listas!$C$46,IF(W281=[9]Listas!$B$47,[9]Listas!$C$47,IF(W281=[9]Listas!$B$48,[9]Listas!$C$48,"")))</f>
        <v/>
      </c>
      <c r="Y281" s="337" t="str">
        <f>IF(OR(W281=[9]Listas!$F$53,W281=[9]Listas!$F$54),[9]Listas!$G$53,IF(W281=[9]Listas!$F$55,[9]Listas!$G$55,""))</f>
        <v/>
      </c>
      <c r="Z281" s="335"/>
      <c r="AA281" s="186" t="str">
        <f>+IF(Z281=[9]Listas!$E$46,[9]Listas!$F$46,IF(Z281=[9]Listas!$E$47,[9]Listas!$F$47,""))</f>
        <v/>
      </c>
      <c r="AB281" s="187" t="str">
        <f t="shared" si="38"/>
        <v/>
      </c>
      <c r="AC281" s="338"/>
      <c r="AD281" s="339"/>
      <c r="AE281" s="340"/>
      <c r="AF281" s="311" t="str">
        <f t="shared" si="37"/>
        <v>Muy baja</v>
      </c>
      <c r="AG281" s="179">
        <f>IF(Y281=[9]Listas!$G$53,AG280-(AG280*AB281),AG280)</f>
        <v>0.17279999999999998</v>
      </c>
      <c r="AH281" s="563"/>
      <c r="AI281" s="311" t="str">
        <f t="shared" si="39"/>
        <v>Menor</v>
      </c>
      <c r="AJ281" s="179">
        <f>IF(Y281=[9]Listas!$G$55,AJ280-(AJ280*AB281),AJ280)</f>
        <v>0.33800000000000002</v>
      </c>
      <c r="AK281" s="563"/>
      <c r="AL281" s="566"/>
      <c r="AM281" s="566"/>
      <c r="AN281" s="566"/>
      <c r="AO281" s="569"/>
      <c r="AP281" s="572"/>
      <c r="AQ281" s="346"/>
      <c r="AR281" s="192"/>
    </row>
    <row r="282" spans="2:44" ht="75" customHeight="1" thickTop="1" thickBot="1" x14ac:dyDescent="0.4">
      <c r="B282" s="870"/>
      <c r="C282" s="560"/>
      <c r="D282" s="744" t="s">
        <v>461</v>
      </c>
      <c r="E282" s="576" t="s">
        <v>5</v>
      </c>
      <c r="F282" s="624" t="s">
        <v>462</v>
      </c>
      <c r="G282" s="627" t="s">
        <v>463</v>
      </c>
      <c r="H282" s="627" t="s">
        <v>464</v>
      </c>
      <c r="I282" s="588" t="s">
        <v>28</v>
      </c>
      <c r="J282" s="588" t="s">
        <v>22</v>
      </c>
      <c r="K282" s="591" t="s">
        <v>465</v>
      </c>
      <c r="L282" s="588" t="s">
        <v>186</v>
      </c>
      <c r="M282" s="594" t="s">
        <v>169</v>
      </c>
      <c r="N282" s="597" t="str">
        <f>+IF(M282="","",IF(M282=$BO$15,$BN$15,IF(M282=$BO$16,$BN$16,IF(M282=$BO$17,$BN$17,IF(M282=$BO$18,$BN$18,IF(M282=$BO$19,$BN$19))))))</f>
        <v>Alta</v>
      </c>
      <c r="O282" s="600">
        <f>+IF(M282="","",IF(M282=$BO$15,$BR$15,IF(M282=$BO$16,$BR$16,IF(M282=$BO$17,$BR$17,IF(M282=$BO$18,$BR$18,IF(M282=$BO$19,$BR$19))))))</f>
        <v>0.8</v>
      </c>
      <c r="P282" s="594" t="s">
        <v>195</v>
      </c>
      <c r="Q282" s="603" t="str">
        <f>+IF(P282="","",IF(P282='[9]Mapa de Calor inherente'!$AF$6,'[9]Mapa de Calor inherente'!$AD$6,IF(P282='[9]Mapa de Calor inherente'!$AF$7,'[9]Mapa de Calor inherente'!$AD$7,IF(P282='[9]Mapa de Calor inherente'!$AF$8,'[9]Mapa de Calor inherente'!$AD$8,IF(P282='[9]Mapa de Calor inherente'!$AF$9,'[9]Mapa de Calor inherente'!$AD$9,IF(P282='[9]Mapa de Calor inherente'!$AF$10,'[9]Mapa de Calor inherente'!$AD$10,IF(P282='[9]Mapa de Calor inherente'!$AG$6,'[9]Mapa de Calor inherente'!$AD$6,IF(P282='[9]Mapa de Calor inherente'!$AG$7,'[9]Mapa de Calor inherente'!$AD$7,IF(P282='[9]Mapa de Calor inherente'!$AG$8,'[9]Mapa de Calor inherente'!$AD$8,IF(P282='[9]Mapa de Calor inherente'!$AG$9,'[9]Mapa de Calor inherente'!$AD$9,IF(P282='[9]Mapa de Calor inherente'!$AG$10,'[9]Mapa de Calor inherente'!$AD$10,IF(P282='[9]Mapa de Calor inherente'!$AD$8,'[9]Mapa de Calor inherente'!$AD$8,IF(P282='[9]Mapa de Calor inherente'!$AD$9,'[9]Mapa de Calor inherente'!$AD$9,IF(P282='[9]Mapa de Calor inherente'!$AD$10,'[9]Mapa de Calor inherente'!$AD$10))))))))))))))</f>
        <v>Leve</v>
      </c>
      <c r="R282" s="600">
        <f>+IF(P282="","",IF(P282='[9]Mapa de Calor inherente'!$AF$6,'[9]Mapa de Calor inherente'!$AE$6,IF(P282='[9]Mapa de Calor inherente'!$AF$7,'[9]Mapa de Calor inherente'!$AE$7,IF(P282='[9]Mapa de Calor inherente'!$AF$8,'[9]Mapa de Calor inherente'!$AE$8,IF(P282='[9]Mapa de Calor inherente'!$AF$9,'[9]Mapa de Calor inherente'!$AE$9,IF(P282='[9]Mapa de Calor inherente'!$AF$10,'[9]Mapa de Calor inherente'!$AE$10,IF(P282='[9]Mapa de Calor inherente'!$AG$6,'[9]Mapa de Calor inherente'!$AE$6,IF(P282='[9]Mapa de Calor inherente'!$AG$7,'[9]Mapa de Calor inherente'!$AE$7,IF(P282='[9]Mapa de Calor inherente'!$AG$8,'[9]Mapa de Calor inherente'!$AE$8,IF(P282='[9]Mapa de Calor inherente'!$AG$9,'[9]Mapa de Calor inherente'!$AE$9,IF(P282='[9]Mapa de Calor inherente'!$AG$10,'[9]Mapa de Calor inherente'!$AE$10,IF(P282='[9]Mapa de Calor inherente'!$AD$8,'[9]Mapa de Calor inherente'!$AE$8,IF(P282='[9]Mapa de Calor inherente'!$AD$9,'[9]Mapa de Calor inherente'!$AE$9,IF(P282='[9]Mapa de Calor inherente'!$AD$10,'[9]Mapa de Calor inherente'!$AE$10))))))))))))))</f>
        <v>0.2</v>
      </c>
      <c r="S282" s="292" t="e">
        <f>IF(N282="","",IF(R282="","",(N282*R282)))</f>
        <v>#VALUE!</v>
      </c>
      <c r="T282" s="603" t="str">
        <f>+IF(N282=$BB$17,IF(Q282=$BC$16,$BC$17,IF(Q282=$BD$16,$BD$17,IF(Q282=$BE$16,$BE$17,IF(Q282=$BF$16,$BF$17,IF(Q282=$BG$16,$BG$17))))),IF(N282=$BB$18,IF(Q282=$BC$16,$BC$18,IF(Q282=$BD$16,$BD$18,IF(Q282=$BE$16,$BE$18,IF(Q282=$BF$16,$BF$18,IF(Q282=$BG$16,$BG$18))))),IF(N282=$BB$19,IF(Q282=$BC$16,$BC$19,IF(Q282=$BD$16,$BD$19,IF(Q282=$BE$16,$BE$19,IF(Q282=$BF$16,$BF$19,IF(Q282=$BG$16,$BG$19))))),IF(N282=$BB$20,IF(Q282=$BC$16,$BC$20,IF(Q282=$BD$16,$BD$20,IF(Q282=$BE$16,$BE$20,IF(Q282=$BF$16,$BF$20,IF(Q282=$BG$16,$BG$20))))),IF(N282=$BB$21,IF(Q282=$BC$16,$BC$21,IF(Q282=$BD$16,$BD$21,IF(Q282=$BE$16,$BE$21,IF(Q282=$BF$16,$BF$21,IF(Q282=$BG$16,$BG$21))))),"")))))</f>
        <v>Moderado</v>
      </c>
      <c r="U282" s="139" t="s">
        <v>171</v>
      </c>
      <c r="V282" s="451" t="s">
        <v>466</v>
      </c>
      <c r="W282" s="313" t="s">
        <v>40</v>
      </c>
      <c r="X282" s="314">
        <f>IF(W282=[9]Listas!$B$46,[9]Listas!$C$46,IF(W282=[9]Listas!$B$47,[9]Listas!$C$47,IF(W282=[9]Listas!$B$48,[9]Listas!$C$48,"")))</f>
        <v>0.25</v>
      </c>
      <c r="Y282" s="315" t="str">
        <f>IF(OR(W282=[9]Listas!$F$53,W282=[9]Listas!$F$54),[9]Listas!$G$53,IF(W282=[9]Listas!$F$55,[9]Listas!$G$55,""))</f>
        <v>Probabilidad</v>
      </c>
      <c r="Z282" s="313" t="s">
        <v>43</v>
      </c>
      <c r="AA282" s="314">
        <f>+IF(Z282=[9]Listas!$E$46,[9]Listas!$F$46,IF(Z282=[9]Listas!$E$47,[9]Listas!$F$47,""))</f>
        <v>0.15</v>
      </c>
      <c r="AB282" s="181">
        <f>IFERROR(X282+AA282,"")</f>
        <v>0.4</v>
      </c>
      <c r="AC282" s="313" t="s">
        <v>57</v>
      </c>
      <c r="AD282" s="316" t="s">
        <v>58</v>
      </c>
      <c r="AE282" s="317" t="s">
        <v>59</v>
      </c>
      <c r="AF282" s="299" t="str">
        <f t="shared" si="37"/>
        <v>Media</v>
      </c>
      <c r="AG282" s="141">
        <f>IF(Y282=[9]Listas!$G$53,O282-(O282*AB282),O282)</f>
        <v>0.48</v>
      </c>
      <c r="AH282" s="561">
        <f>+IF(AG291="","",AG291)</f>
        <v>0.28799999999999998</v>
      </c>
      <c r="AI282" s="299" t="str">
        <f>IF(AJ282="","",IF(AJ282&lt;=20%,"Leve",IF(AJ282&lt;=40%,"Menor",IF(AJ282&lt;=60%,"Moderado",IF(AJ282&lt;=80%,"Mayor","Catastrófico")))))</f>
        <v>Leve</v>
      </c>
      <c r="AJ282" s="141">
        <f>IF(Y282=[9]Listas!$G$55,R282-(R282*AB282),R282)</f>
        <v>0.2</v>
      </c>
      <c r="AK282" s="561">
        <f>+IF(AJ291="","",AJ291)</f>
        <v>0.15000000000000002</v>
      </c>
      <c r="AL282" s="564" t="str">
        <f>+IF(AH282=0,"",IF(AH282&lt;=$BA$21,$BB$21,IF(AH282&lt;=$BA$20,$BB$20,IF(AH282&lt;=$BA$19,$BB$19,IF(AH282&lt;=$BA$18,$BB$18,IF(AH282&lt;=$BA$17,$BB$17,""))))))</f>
        <v>Baja</v>
      </c>
      <c r="AM282" s="564" t="str">
        <f>+IF(AK282=0,"",IF(AK282&lt;=$BC$15,$BC$16,IF(AK282&lt;=$BD$15,$BD$16,IF(AK282&lt;=$BE$15,$BE$16,IF(AK282&lt;=$BF$15,$BF$16,IF(AK282&lt;=$BG$15,$BG$16,""))))))</f>
        <v>Leve</v>
      </c>
      <c r="AN282" s="564" t="str">
        <f>IF(AL282=$BB$17,IF(AM282=$BC$16,$BC$17,IF(AM282=$BD$16,$BD$17,IF(AM282=$BE$16,$BE$17,IF(AM282=$BF$16,$BF$17,IF(AM282=$BG$16,$BG$17))))),IF(AL282=$BB$18,IF(AM282=$BC$16,$BC$18,IF(AM282=$BD$16,$BD$18,IF(AM282=$BE$16,$BE$18,IF(AM282=$BF$16,$BF$18,IF(AM282=$BG$16,$BG$18))))),IF(AL282=$BB$19,IF(AM282=$BC$16,$BC$19,IF(AM282=$BD$16,$BD$19,IF(AM282=$BE$16,$BE$19,IF(AM282=$BF$16,$BF$19,IF(AM282=$BG$16,$BG$19))))),IF(AL282=$BB$20,IF(AM282=$BC$16,$BC$20,IF(AM282=$BD$16,$BD$20,IF(AM282=$BE$16,$BE$20,IF(AM282=$BF$16,$BF$20,IF(AM282=$BG$16,$BG$20))))),IF(AL282=$BB$21,IF(AM282=$BC$16,$BC$21,IF(AM282=$BD$16,$BD$21,IF(AM282=$BE$16,$BE$21,IF(AM282=$BF$16,$BF$21,IF(AM282=$BG$16,$BG$21))))),"")))))</f>
        <v>Bajo</v>
      </c>
      <c r="AO282" s="567" t="str">
        <f>IF(AP282="","",IF(AP282=[9]Listas!$F$61,[9]Listas!$G$61,IF(AP282=[9]Listas!$F$63,[9]Listas!$G$63,IF(AP282=[9]Listas!$F$64,[9]Listas!$G$64))))</f>
        <v>No requiere Plan de Acción</v>
      </c>
      <c r="AP282" s="570" t="str">
        <f>IF(AN282="","",IF(OR(AN282=[9]Listas!$E$61,AN282=[9]Listas!$E$62),[9]Listas!$F$61,IF(AN282=[9]Listas!$E$63,[9]Listas!$F$63,IF(AN282=[9]Listas!$E$64,[9]Listas!$F$64))))</f>
        <v>Aceptar  el riesgo</v>
      </c>
      <c r="AQ282" s="358" t="s">
        <v>90</v>
      </c>
      <c r="AR282" s="211" t="s">
        <v>400</v>
      </c>
    </row>
    <row r="283" spans="2:44" ht="66.75" customHeight="1" thickTop="1" thickBot="1" x14ac:dyDescent="0.4">
      <c r="B283" s="870"/>
      <c r="C283" s="560"/>
      <c r="D283" s="745" t="s">
        <v>456</v>
      </c>
      <c r="E283" s="577"/>
      <c r="F283" s="625"/>
      <c r="G283" s="628"/>
      <c r="H283" s="628"/>
      <c r="I283" s="589"/>
      <c r="J283" s="589"/>
      <c r="K283" s="592"/>
      <c r="L283" s="589"/>
      <c r="M283" s="595"/>
      <c r="N283" s="598"/>
      <c r="O283" s="601"/>
      <c r="P283" s="595"/>
      <c r="Q283" s="604"/>
      <c r="R283" s="601"/>
      <c r="S283" s="286"/>
      <c r="T283" s="604"/>
      <c r="U283" s="142" t="s">
        <v>174</v>
      </c>
      <c r="V283" s="452" t="s">
        <v>467</v>
      </c>
      <c r="W283" s="319" t="s">
        <v>40</v>
      </c>
      <c r="X283" s="320">
        <f>IF(W283=[9]Listas!$B$46,[9]Listas!$C$46,IF(W283=[9]Listas!$B$47,[9]Listas!$C$47,IF(W283=[9]Listas!$B$48,[9]Listas!$C$48,"")))</f>
        <v>0.25</v>
      </c>
      <c r="Y283" s="321" t="str">
        <f>IF(OR(W283=[9]Listas!$F$53,W283=[9]Listas!$F$54),[9]Listas!$G$53,IF(W283=[9]Listas!$F$55,[9]Listas!$G$55,""))</f>
        <v>Probabilidad</v>
      </c>
      <c r="Z283" s="319" t="s">
        <v>43</v>
      </c>
      <c r="AA283" s="182">
        <f>+IF(Z283=[9]Listas!$E$46,[9]Listas!$F$46,IF(Z283=[9]Listas!$E$47,[9]Listas!$F$47,""))</f>
        <v>0.15</v>
      </c>
      <c r="AB283" s="183">
        <f>IFERROR(X283+AA283,"")</f>
        <v>0.4</v>
      </c>
      <c r="AC283" s="319" t="s">
        <v>57</v>
      </c>
      <c r="AD283" s="322" t="s">
        <v>58</v>
      </c>
      <c r="AE283" s="323" t="s">
        <v>59</v>
      </c>
      <c r="AF283" s="305" t="str">
        <f t="shared" si="37"/>
        <v>Baja</v>
      </c>
      <c r="AG283" s="145">
        <f>IF(Y283=[9]Listas!$G$53,AG282-(AG282*AB283),AG282)</f>
        <v>0.28799999999999998</v>
      </c>
      <c r="AH283" s="562"/>
      <c r="AI283" s="305" t="str">
        <f t="shared" ref="AI283:AI291" si="40">IF(AJ283="","",IF(AJ283&lt;=20%,"Leve",IF(AJ283&lt;=40%,"Menor",IF(AJ283&lt;=60%,"Moderado",IF(AJ283&lt;=80%,"Mayor","Catastrófico")))))</f>
        <v>Leve</v>
      </c>
      <c r="AJ283" s="145">
        <f>IF(Y283=[9]Listas!$G$55,AJ282-(AJ282*AB283),AJ282)</f>
        <v>0.2</v>
      </c>
      <c r="AK283" s="562"/>
      <c r="AL283" s="565"/>
      <c r="AM283" s="565"/>
      <c r="AN283" s="565"/>
      <c r="AO283" s="568"/>
      <c r="AP283" s="571"/>
      <c r="AQ283" s="343"/>
      <c r="AR283" s="191"/>
    </row>
    <row r="284" spans="2:44" ht="92.25" customHeight="1" thickTop="1" thickBot="1" x14ac:dyDescent="0.4">
      <c r="B284" s="870"/>
      <c r="C284" s="560"/>
      <c r="D284" s="745" t="s">
        <v>456</v>
      </c>
      <c r="E284" s="577"/>
      <c r="F284" s="625"/>
      <c r="G284" s="628"/>
      <c r="H284" s="628"/>
      <c r="I284" s="589"/>
      <c r="J284" s="589"/>
      <c r="K284" s="592"/>
      <c r="L284" s="589"/>
      <c r="M284" s="595"/>
      <c r="N284" s="598"/>
      <c r="O284" s="601"/>
      <c r="P284" s="595"/>
      <c r="Q284" s="604"/>
      <c r="R284" s="601"/>
      <c r="S284" s="287"/>
      <c r="T284" s="604"/>
      <c r="U284" s="142" t="s">
        <v>180</v>
      </c>
      <c r="V284" s="453" t="s">
        <v>468</v>
      </c>
      <c r="W284" s="331" t="s">
        <v>44</v>
      </c>
      <c r="X284" s="320">
        <f>IF(W284=[9]Listas!$B$46,[9]Listas!$C$46,IF(W284=[9]Listas!$B$47,[9]Listas!$C$47,IF(W284=[9]Listas!$B$48,[9]Listas!$C$48,"")))</f>
        <v>0.1</v>
      </c>
      <c r="Y284" s="321" t="str">
        <f>IF(OR(W284=[9]Listas!$F$53,W284=[9]Listas!$F$54),[9]Listas!$G$53,IF(W284=[9]Listas!$F$55,[9]Listas!$G$55,""))</f>
        <v>Impacto</v>
      </c>
      <c r="Z284" s="319" t="s">
        <v>43</v>
      </c>
      <c r="AA284" s="182">
        <f>+IF(Z284=[9]Listas!$E$46,[9]Listas!$F$46,IF(Z284=[9]Listas!$E$47,[9]Listas!$F$47,""))</f>
        <v>0.15</v>
      </c>
      <c r="AB284" s="183">
        <f>IFERROR(X284+AA284,"")</f>
        <v>0.25</v>
      </c>
      <c r="AC284" s="319" t="s">
        <v>57</v>
      </c>
      <c r="AD284" s="322" t="s">
        <v>58</v>
      </c>
      <c r="AE284" s="323" t="s">
        <v>59</v>
      </c>
      <c r="AF284" s="305" t="str">
        <f t="shared" si="37"/>
        <v>Baja</v>
      </c>
      <c r="AG284" s="145">
        <f>IF(Y284=[9]Listas!$G$53,AG283-(AG283*AB284),AG283)</f>
        <v>0.28799999999999998</v>
      </c>
      <c r="AH284" s="562"/>
      <c r="AI284" s="305" t="str">
        <f t="shared" si="40"/>
        <v>Leve</v>
      </c>
      <c r="AJ284" s="145">
        <f>IF(Y284=[9]Listas!$G$55,AJ283-(AJ283*AB284),AJ283)</f>
        <v>0.15000000000000002</v>
      </c>
      <c r="AK284" s="562"/>
      <c r="AL284" s="565"/>
      <c r="AM284" s="565"/>
      <c r="AN284" s="565"/>
      <c r="AO284" s="568"/>
      <c r="AP284" s="571"/>
      <c r="AQ284" s="343"/>
      <c r="AR284" s="191"/>
    </row>
    <row r="285" spans="2:44" ht="15.75" hidden="1" customHeight="1" x14ac:dyDescent="0.35">
      <c r="B285" s="870"/>
      <c r="C285" s="560"/>
      <c r="D285" s="745" t="s">
        <v>456</v>
      </c>
      <c r="E285" s="577"/>
      <c r="F285" s="625"/>
      <c r="G285" s="628"/>
      <c r="H285" s="628"/>
      <c r="I285" s="589"/>
      <c r="J285" s="589"/>
      <c r="K285" s="592"/>
      <c r="L285" s="589"/>
      <c r="M285" s="595"/>
      <c r="N285" s="598"/>
      <c r="O285" s="601"/>
      <c r="P285" s="595"/>
      <c r="Q285" s="604"/>
      <c r="R285" s="601"/>
      <c r="S285" s="287"/>
      <c r="T285" s="604"/>
      <c r="U285" s="142" t="s">
        <v>190</v>
      </c>
      <c r="V285" s="418"/>
      <c r="W285" s="319"/>
      <c r="X285" s="320" t="str">
        <f>IF(W285=[9]Listas!$B$46,[9]Listas!$C$46,IF(W285=[9]Listas!$B$47,[9]Listas!$C$47,IF(W285=[9]Listas!$B$48,[9]Listas!$C$48,"")))</f>
        <v/>
      </c>
      <c r="Y285" s="321" t="str">
        <f>IF(OR(W285=[9]Listas!$F$53,W285=[9]Listas!$F$54),[9]Listas!$G$53,IF(W285=[9]Listas!$F$55,[9]Listas!$G$55,""))</f>
        <v/>
      </c>
      <c r="Z285" s="319"/>
      <c r="AA285" s="182" t="str">
        <f>+IF(Z285=[9]Listas!$E$46,[9]Listas!$F$46,IF(Z285=[9]Listas!$E$47,[9]Listas!$F$47,""))</f>
        <v/>
      </c>
      <c r="AB285" s="183" t="str">
        <f t="shared" ref="AB285:AB291" si="41">IFERROR(X285+AA285,"")</f>
        <v/>
      </c>
      <c r="AC285" s="328"/>
      <c r="AD285" s="329"/>
      <c r="AE285" s="330"/>
      <c r="AF285" s="305" t="str">
        <f t="shared" si="37"/>
        <v>Baja</v>
      </c>
      <c r="AG285" s="145">
        <f>IF(Y285=[9]Listas!$G$53,AG284-(AG284*AB285),AG284)</f>
        <v>0.28799999999999998</v>
      </c>
      <c r="AH285" s="562"/>
      <c r="AI285" s="305" t="str">
        <f t="shared" si="40"/>
        <v>Leve</v>
      </c>
      <c r="AJ285" s="145">
        <f>IF(Y285=[9]Listas!$G$55,AJ284-(AJ284*AB285),AJ284)</f>
        <v>0.15000000000000002</v>
      </c>
      <c r="AK285" s="562"/>
      <c r="AL285" s="565"/>
      <c r="AM285" s="565"/>
      <c r="AN285" s="565"/>
      <c r="AO285" s="568"/>
      <c r="AP285" s="571"/>
      <c r="AQ285" s="344"/>
      <c r="AR285" s="191"/>
    </row>
    <row r="286" spans="2:44" ht="15.75" hidden="1" customHeight="1" x14ac:dyDescent="0.35">
      <c r="B286" s="870"/>
      <c r="C286" s="560"/>
      <c r="D286" s="745" t="s">
        <v>456</v>
      </c>
      <c r="E286" s="577"/>
      <c r="F286" s="625"/>
      <c r="G286" s="628"/>
      <c r="H286" s="628"/>
      <c r="I286" s="589"/>
      <c r="J286" s="589"/>
      <c r="K286" s="592"/>
      <c r="L286" s="589"/>
      <c r="M286" s="595"/>
      <c r="N286" s="598"/>
      <c r="O286" s="601"/>
      <c r="P286" s="595"/>
      <c r="Q286" s="604"/>
      <c r="R286" s="601"/>
      <c r="S286" s="287"/>
      <c r="T286" s="604"/>
      <c r="U286" s="142" t="s">
        <v>198</v>
      </c>
      <c r="V286" s="418"/>
      <c r="W286" s="331"/>
      <c r="X286" s="320" t="str">
        <f>IF(W286=[9]Listas!$B$46,[9]Listas!$C$46,IF(W286=[9]Listas!$B$47,[9]Listas!$C$47,IF(W286=[9]Listas!$B$48,[9]Listas!$C$48,"")))</f>
        <v/>
      </c>
      <c r="Y286" s="321" t="str">
        <f>IF(OR(W286=[9]Listas!$F$53,W286=[9]Listas!$F$54),[9]Listas!$G$53,IF(W286=[9]Listas!$F$55,[9]Listas!$G$55,""))</f>
        <v/>
      </c>
      <c r="Z286" s="331"/>
      <c r="AA286" s="182" t="str">
        <f>+IF(Z286=[9]Listas!$E$46,[9]Listas!$F$46,IF(Z286=[9]Listas!$E$47,[9]Listas!$F$47,""))</f>
        <v/>
      </c>
      <c r="AB286" s="183" t="str">
        <f t="shared" si="41"/>
        <v/>
      </c>
      <c r="AC286" s="319"/>
      <c r="AD286" s="322"/>
      <c r="AE286" s="323"/>
      <c r="AF286" s="305" t="str">
        <f t="shared" si="37"/>
        <v>Baja</v>
      </c>
      <c r="AG286" s="145">
        <f>IF(Y286=[9]Listas!$G$53,AG285-(AG285*AB286),AG285)</f>
        <v>0.28799999999999998</v>
      </c>
      <c r="AH286" s="562"/>
      <c r="AI286" s="305" t="str">
        <f t="shared" si="40"/>
        <v>Leve</v>
      </c>
      <c r="AJ286" s="145">
        <f>IF(Y286=[9]Listas!$G$55,AJ285-(AJ285*AB286),AJ285)</f>
        <v>0.15000000000000002</v>
      </c>
      <c r="AK286" s="562"/>
      <c r="AL286" s="565"/>
      <c r="AM286" s="565"/>
      <c r="AN286" s="565"/>
      <c r="AO286" s="568"/>
      <c r="AP286" s="571"/>
      <c r="AQ286" s="345"/>
      <c r="AR286" s="191"/>
    </row>
    <row r="287" spans="2:44" ht="15.75" hidden="1" customHeight="1" thickTop="1" x14ac:dyDescent="0.35">
      <c r="B287" s="870"/>
      <c r="C287" s="560"/>
      <c r="D287" s="745" t="s">
        <v>456</v>
      </c>
      <c r="E287" s="577"/>
      <c r="F287" s="625"/>
      <c r="G287" s="628"/>
      <c r="H287" s="628"/>
      <c r="I287" s="589"/>
      <c r="J287" s="589"/>
      <c r="K287" s="592"/>
      <c r="L287" s="589"/>
      <c r="M287" s="595"/>
      <c r="N287" s="598"/>
      <c r="O287" s="601"/>
      <c r="P287" s="595"/>
      <c r="Q287" s="604"/>
      <c r="R287" s="601"/>
      <c r="S287" s="288"/>
      <c r="T287" s="604"/>
      <c r="U287" s="142" t="s">
        <v>208</v>
      </c>
      <c r="V287" s="418"/>
      <c r="W287" s="331"/>
      <c r="X287" s="320" t="str">
        <f>IF(W287=[9]Listas!$B$46,[9]Listas!$C$46,IF(W287=[9]Listas!$B$47,[9]Listas!$C$47,IF(W287=[9]Listas!$B$48,[9]Listas!$C$48,"")))</f>
        <v/>
      </c>
      <c r="Y287" s="321" t="str">
        <f>IF(OR(W287=[9]Listas!$F$53,W287=[9]Listas!$F$54),[9]Listas!$G$53,IF(W287=[9]Listas!$F$55,[9]Listas!$G$55,""))</f>
        <v/>
      </c>
      <c r="Z287" s="331"/>
      <c r="AA287" s="182" t="str">
        <f>+IF(Z287=[9]Listas!$E$46,[9]Listas!$F$46,IF(Z287=[9]Listas!$E$47,[9]Listas!$F$47,""))</f>
        <v/>
      </c>
      <c r="AB287" s="183" t="str">
        <f t="shared" si="41"/>
        <v/>
      </c>
      <c r="AC287" s="319"/>
      <c r="AD287" s="322"/>
      <c r="AE287" s="323"/>
      <c r="AF287" s="305" t="str">
        <f t="shared" si="37"/>
        <v>Baja</v>
      </c>
      <c r="AG287" s="145">
        <f>IF(Y287=[9]Listas!$G$53,AG286-(AG286*AB287),AG286)</f>
        <v>0.28799999999999998</v>
      </c>
      <c r="AH287" s="562"/>
      <c r="AI287" s="305" t="str">
        <f t="shared" si="40"/>
        <v>Leve</v>
      </c>
      <c r="AJ287" s="145">
        <f>IF(Y287=[9]Listas!$G$55,AJ286-(AJ286*AB287),AJ286)</f>
        <v>0.15000000000000002</v>
      </c>
      <c r="AK287" s="562"/>
      <c r="AL287" s="565"/>
      <c r="AM287" s="565"/>
      <c r="AN287" s="565"/>
      <c r="AO287" s="568"/>
      <c r="AP287" s="571"/>
      <c r="AQ287" s="343"/>
      <c r="AR287" s="191"/>
    </row>
    <row r="288" spans="2:44" ht="15.75" hidden="1" customHeight="1" thickTop="1" x14ac:dyDescent="0.35">
      <c r="B288" s="870"/>
      <c r="C288" s="560"/>
      <c r="D288" s="745" t="s">
        <v>456</v>
      </c>
      <c r="E288" s="577"/>
      <c r="F288" s="625"/>
      <c r="G288" s="628"/>
      <c r="H288" s="628"/>
      <c r="I288" s="589"/>
      <c r="J288" s="589"/>
      <c r="K288" s="592"/>
      <c r="L288" s="589"/>
      <c r="M288" s="595"/>
      <c r="N288" s="598"/>
      <c r="O288" s="601"/>
      <c r="P288" s="595"/>
      <c r="Q288" s="604"/>
      <c r="R288" s="601"/>
      <c r="S288" s="289"/>
      <c r="T288" s="604"/>
      <c r="U288" s="142" t="s">
        <v>215</v>
      </c>
      <c r="V288" s="418"/>
      <c r="W288" s="331"/>
      <c r="X288" s="320" t="str">
        <f>IF(W288=[9]Listas!$B$46,[9]Listas!$C$46,IF(W288=[9]Listas!$B$47,[9]Listas!$C$47,IF(W288=[9]Listas!$B$48,[9]Listas!$C$48,"")))</f>
        <v/>
      </c>
      <c r="Y288" s="321" t="str">
        <f>IF(OR(W288=[9]Listas!$F$53,W288=[9]Listas!$F$54),[9]Listas!$G$53,IF(W288=[9]Listas!$F$55,[9]Listas!$G$55,""))</f>
        <v/>
      </c>
      <c r="Z288" s="331"/>
      <c r="AA288" s="182" t="str">
        <f>+IF(Z288=[9]Listas!$E$46,[9]Listas!$F$46,IF(Z288=[9]Listas!$E$47,[9]Listas!$F$47,""))</f>
        <v/>
      </c>
      <c r="AB288" s="183" t="str">
        <f t="shared" si="41"/>
        <v/>
      </c>
      <c r="AC288" s="319"/>
      <c r="AD288" s="322"/>
      <c r="AE288" s="323"/>
      <c r="AF288" s="305" t="str">
        <f t="shared" si="37"/>
        <v>Baja</v>
      </c>
      <c r="AG288" s="145">
        <f>IF(Y288=[9]Listas!$G$53,AG287-(AG287*AB288),AG287)</f>
        <v>0.28799999999999998</v>
      </c>
      <c r="AH288" s="562"/>
      <c r="AI288" s="305" t="str">
        <f t="shared" si="40"/>
        <v>Leve</v>
      </c>
      <c r="AJ288" s="145">
        <f>IF(Y288=[9]Listas!$G$55,AJ287-(AJ287*AB288),AJ287)</f>
        <v>0.15000000000000002</v>
      </c>
      <c r="AK288" s="562"/>
      <c r="AL288" s="565"/>
      <c r="AM288" s="565"/>
      <c r="AN288" s="565"/>
      <c r="AO288" s="568"/>
      <c r="AP288" s="571"/>
      <c r="AQ288" s="343"/>
      <c r="AR288" s="191"/>
    </row>
    <row r="289" spans="2:44" ht="15.75" hidden="1" customHeight="1" thickTop="1" x14ac:dyDescent="0.35">
      <c r="B289" s="870"/>
      <c r="C289" s="560"/>
      <c r="D289" s="745" t="s">
        <v>456</v>
      </c>
      <c r="E289" s="577"/>
      <c r="F289" s="625"/>
      <c r="G289" s="628"/>
      <c r="H289" s="628"/>
      <c r="I289" s="589"/>
      <c r="J289" s="589"/>
      <c r="K289" s="592"/>
      <c r="L289" s="589"/>
      <c r="M289" s="595"/>
      <c r="N289" s="598"/>
      <c r="O289" s="601"/>
      <c r="P289" s="595"/>
      <c r="Q289" s="604"/>
      <c r="R289" s="601"/>
      <c r="S289" s="289"/>
      <c r="T289" s="604"/>
      <c r="U289" s="142" t="s">
        <v>220</v>
      </c>
      <c r="V289" s="418"/>
      <c r="W289" s="331"/>
      <c r="X289" s="320" t="str">
        <f>IF(W289=[9]Listas!$B$46,[9]Listas!$C$46,IF(W289=[9]Listas!$B$47,[9]Listas!$C$47,IF(W289=[9]Listas!$B$48,[9]Listas!$C$48,"")))</f>
        <v/>
      </c>
      <c r="Y289" s="321" t="str">
        <f>IF(OR(W289=[9]Listas!$F$53,W289=[9]Listas!$F$54),[9]Listas!$G$53,IF(W289=[9]Listas!$F$55,[9]Listas!$G$55,""))</f>
        <v/>
      </c>
      <c r="Z289" s="331"/>
      <c r="AA289" s="182" t="str">
        <f>+IF(Z289=[9]Listas!$E$46,[9]Listas!$F$46,IF(Z289=[9]Listas!$E$47,[9]Listas!$F$47,""))</f>
        <v/>
      </c>
      <c r="AB289" s="183" t="str">
        <f t="shared" si="41"/>
        <v/>
      </c>
      <c r="AC289" s="319"/>
      <c r="AD289" s="322"/>
      <c r="AE289" s="323"/>
      <c r="AF289" s="305" t="str">
        <f t="shared" si="37"/>
        <v>Baja</v>
      </c>
      <c r="AG289" s="145">
        <f>IF(Y289=[9]Listas!$G$53,AG288-(AG288*AB289),AG288)</f>
        <v>0.28799999999999998</v>
      </c>
      <c r="AH289" s="562"/>
      <c r="AI289" s="305" t="str">
        <f t="shared" si="40"/>
        <v>Leve</v>
      </c>
      <c r="AJ289" s="145">
        <f>IF(Y289=[9]Listas!$G$55,AJ288-(AJ288*AB289),AJ288)</f>
        <v>0.15000000000000002</v>
      </c>
      <c r="AK289" s="562"/>
      <c r="AL289" s="565"/>
      <c r="AM289" s="565"/>
      <c r="AN289" s="565"/>
      <c r="AO289" s="568"/>
      <c r="AP289" s="571"/>
      <c r="AQ289" s="344"/>
      <c r="AR289" s="191"/>
    </row>
    <row r="290" spans="2:44" ht="15.75" hidden="1" customHeight="1" thickTop="1" x14ac:dyDescent="0.35">
      <c r="B290" s="870"/>
      <c r="C290" s="560"/>
      <c r="D290" s="745" t="s">
        <v>456</v>
      </c>
      <c r="E290" s="577"/>
      <c r="F290" s="625"/>
      <c r="G290" s="628"/>
      <c r="H290" s="628"/>
      <c r="I290" s="589"/>
      <c r="J290" s="589"/>
      <c r="K290" s="592"/>
      <c r="L290" s="589"/>
      <c r="M290" s="595"/>
      <c r="N290" s="598"/>
      <c r="O290" s="601"/>
      <c r="P290" s="595"/>
      <c r="Q290" s="604"/>
      <c r="R290" s="601"/>
      <c r="S290" s="289"/>
      <c r="T290" s="604"/>
      <c r="U290" s="142" t="s">
        <v>223</v>
      </c>
      <c r="V290" s="418"/>
      <c r="W290" s="331"/>
      <c r="X290" s="320" t="str">
        <f>IF(W290=[9]Listas!$B$46,[9]Listas!$C$46,IF(W290=[9]Listas!$B$47,[9]Listas!$C$47,IF(W290=[9]Listas!$B$48,[9]Listas!$C$48,"")))</f>
        <v/>
      </c>
      <c r="Y290" s="321" t="str">
        <f>IF(OR(W290=[9]Listas!$F$53,W290=[9]Listas!$F$54),[9]Listas!$G$53,IF(W290=[9]Listas!$F$55,[9]Listas!$G$55,""))</f>
        <v/>
      </c>
      <c r="Z290" s="331"/>
      <c r="AA290" s="182" t="str">
        <f>+IF(Z290=[9]Listas!$E$46,[9]Listas!$F$46,IF(Z290=[9]Listas!$E$47,[9]Listas!$F$47,""))</f>
        <v/>
      </c>
      <c r="AB290" s="183" t="str">
        <f t="shared" si="41"/>
        <v/>
      </c>
      <c r="AC290" s="319"/>
      <c r="AD290" s="322"/>
      <c r="AE290" s="323"/>
      <c r="AF290" s="305" t="str">
        <f t="shared" si="37"/>
        <v>Baja</v>
      </c>
      <c r="AG290" s="145">
        <f>IF(Y290=[9]Listas!$G$53,AG289-(AG289*AB290),AG289)</f>
        <v>0.28799999999999998</v>
      </c>
      <c r="AH290" s="562"/>
      <c r="AI290" s="305" t="str">
        <f t="shared" si="40"/>
        <v>Leve</v>
      </c>
      <c r="AJ290" s="145">
        <f>IF(Y290=[9]Listas!$G$55,AJ289-(AJ289*AB290),AJ289)</f>
        <v>0.15000000000000002</v>
      </c>
      <c r="AK290" s="562"/>
      <c r="AL290" s="565"/>
      <c r="AM290" s="565"/>
      <c r="AN290" s="565"/>
      <c r="AO290" s="568"/>
      <c r="AP290" s="571"/>
      <c r="AQ290" s="343"/>
      <c r="AR290" s="191"/>
    </row>
    <row r="291" spans="2:44" ht="15.75" hidden="1" customHeight="1" thickTop="1" x14ac:dyDescent="0.35">
      <c r="B291" s="870"/>
      <c r="C291" s="560"/>
      <c r="D291" s="746" t="s">
        <v>456</v>
      </c>
      <c r="E291" s="578"/>
      <c r="F291" s="626"/>
      <c r="G291" s="629"/>
      <c r="H291" s="629"/>
      <c r="I291" s="590"/>
      <c r="J291" s="590"/>
      <c r="K291" s="593"/>
      <c r="L291" s="590"/>
      <c r="M291" s="596"/>
      <c r="N291" s="599"/>
      <c r="O291" s="602"/>
      <c r="P291" s="596"/>
      <c r="Q291" s="605"/>
      <c r="R291" s="602"/>
      <c r="S291" s="293"/>
      <c r="T291" s="605"/>
      <c r="U291" s="202" t="s">
        <v>224</v>
      </c>
      <c r="V291" s="416"/>
      <c r="W291" s="335"/>
      <c r="X291" s="336" t="str">
        <f>IF(W291=[9]Listas!$B$46,[9]Listas!$C$46,IF(W291=[9]Listas!$B$47,[9]Listas!$C$47,IF(W291=[9]Listas!$B$48,[9]Listas!$C$48,"")))</f>
        <v/>
      </c>
      <c r="Y291" s="337" t="str">
        <f>IF(OR(W291=[9]Listas!$F$53,W291=[9]Listas!$F$54),[9]Listas!$G$53,IF(W291=[9]Listas!$F$55,[9]Listas!$G$55,""))</f>
        <v/>
      </c>
      <c r="Z291" s="335"/>
      <c r="AA291" s="186" t="str">
        <f>+IF(Z291=[9]Listas!$E$46,[9]Listas!$F$46,IF(Z291=[9]Listas!$E$47,[9]Listas!$F$47,""))</f>
        <v/>
      </c>
      <c r="AB291" s="187" t="str">
        <f t="shared" si="41"/>
        <v/>
      </c>
      <c r="AC291" s="338"/>
      <c r="AD291" s="339"/>
      <c r="AE291" s="340"/>
      <c r="AF291" s="311" t="str">
        <f t="shared" si="37"/>
        <v>Baja</v>
      </c>
      <c r="AG291" s="179">
        <f>IF(Y291=[9]Listas!$G$53,AG290-(AG290*AB291),AG290)</f>
        <v>0.28799999999999998</v>
      </c>
      <c r="AH291" s="563"/>
      <c r="AI291" s="311" t="str">
        <f t="shared" si="40"/>
        <v>Leve</v>
      </c>
      <c r="AJ291" s="179">
        <f>IF(Y291=[9]Listas!$G$55,AJ290-(AJ290*AB291),AJ290)</f>
        <v>0.15000000000000002</v>
      </c>
      <c r="AK291" s="563"/>
      <c r="AL291" s="566"/>
      <c r="AM291" s="566"/>
      <c r="AN291" s="566"/>
      <c r="AO291" s="569"/>
      <c r="AP291" s="572"/>
      <c r="AQ291" s="359"/>
      <c r="AR291" s="192"/>
    </row>
    <row r="292" spans="2:44" ht="80.25" customHeight="1" thickTop="1" thickBot="1" x14ac:dyDescent="0.4">
      <c r="B292" s="870"/>
      <c r="C292" s="560"/>
      <c r="D292" s="744" t="s">
        <v>469</v>
      </c>
      <c r="E292" s="576" t="s">
        <v>4</v>
      </c>
      <c r="F292" s="624" t="s">
        <v>470</v>
      </c>
      <c r="G292" s="627" t="s">
        <v>471</v>
      </c>
      <c r="H292" s="627" t="s">
        <v>472</v>
      </c>
      <c r="I292" s="588" t="s">
        <v>28</v>
      </c>
      <c r="J292" s="588" t="s">
        <v>22</v>
      </c>
      <c r="K292" s="591" t="s">
        <v>473</v>
      </c>
      <c r="L292" s="588" t="s">
        <v>186</v>
      </c>
      <c r="M292" s="594" t="s">
        <v>214</v>
      </c>
      <c r="N292" s="597" t="str">
        <f>+IF(M292="","",IF(M292=$BO$15,$BN$15,IF(M292=$BO$16,$BN$16,IF(M292=$BO$17,$BN$17,IF(M292=$BO$18,$BN$18,IF(M292=$BO$19,$BN$19))))))</f>
        <v>Media</v>
      </c>
      <c r="O292" s="600">
        <f>+IF(M292="","",IF(M292=$BO$15,$BR$15,IF(M292=$BO$16,$BR$16,IF(M292=$BO$17,$BR$17,IF(M292=$BO$18,$BR$18,IF(M292=$BO$19,$BR$19))))))</f>
        <v>0.6</v>
      </c>
      <c r="P292" s="594" t="s">
        <v>195</v>
      </c>
      <c r="Q292" s="603" t="str">
        <f>+IF(P292="","",IF(P292='[9]Mapa de Calor inherente'!$AF$6,'[9]Mapa de Calor inherente'!$AD$6,IF(P292='[9]Mapa de Calor inherente'!$AF$7,'[9]Mapa de Calor inherente'!$AD$7,IF(P292='[9]Mapa de Calor inherente'!$AF$8,'[9]Mapa de Calor inherente'!$AD$8,IF(P292='[9]Mapa de Calor inherente'!$AF$9,'[9]Mapa de Calor inherente'!$AD$9,IF(P292='[9]Mapa de Calor inherente'!$AF$10,'[9]Mapa de Calor inherente'!$AD$10,IF(P292='[9]Mapa de Calor inherente'!$AG$6,'[9]Mapa de Calor inherente'!$AD$6,IF(P292='[9]Mapa de Calor inherente'!$AG$7,'[9]Mapa de Calor inherente'!$AD$7,IF(P292='[9]Mapa de Calor inherente'!$AG$8,'[9]Mapa de Calor inherente'!$AD$8,IF(P292='[9]Mapa de Calor inherente'!$AG$9,'[9]Mapa de Calor inherente'!$AD$9,IF(P292='[9]Mapa de Calor inherente'!$AG$10,'[9]Mapa de Calor inherente'!$AD$10,IF(P292='[9]Mapa de Calor inherente'!$AD$8,'[9]Mapa de Calor inherente'!$AD$8,IF(P292='[9]Mapa de Calor inherente'!$AD$9,'[9]Mapa de Calor inherente'!$AD$9,IF(P292='[9]Mapa de Calor inherente'!$AD$10,'[9]Mapa de Calor inherente'!$AD$10))))))))))))))</f>
        <v>Leve</v>
      </c>
      <c r="R292" s="600">
        <f>+IF(P292="","",IF(P292='[9]Mapa de Calor inherente'!$AF$6,'[9]Mapa de Calor inherente'!$AE$6,IF(P292='[9]Mapa de Calor inherente'!$AF$7,'[9]Mapa de Calor inherente'!$AE$7,IF(P292='[9]Mapa de Calor inherente'!$AF$8,'[9]Mapa de Calor inherente'!$AE$8,IF(P292='[9]Mapa de Calor inherente'!$AF$9,'[9]Mapa de Calor inherente'!$AE$9,IF(P292='[9]Mapa de Calor inherente'!$AF$10,'[9]Mapa de Calor inherente'!$AE$10,IF(P292='[9]Mapa de Calor inherente'!$AG$6,'[9]Mapa de Calor inherente'!$AE$6,IF(P292='[9]Mapa de Calor inherente'!$AG$7,'[9]Mapa de Calor inherente'!$AE$7,IF(P292='[9]Mapa de Calor inherente'!$AG$8,'[9]Mapa de Calor inherente'!$AE$8,IF(P292='[9]Mapa de Calor inherente'!$AG$9,'[9]Mapa de Calor inherente'!$AE$9,IF(P292='[9]Mapa de Calor inherente'!$AG$10,'[9]Mapa de Calor inherente'!$AE$10,IF(P292='[9]Mapa de Calor inherente'!$AD$8,'[9]Mapa de Calor inherente'!$AE$8,IF(P292='[9]Mapa de Calor inherente'!$AD$9,'[9]Mapa de Calor inherente'!$AE$9,IF(P292='[9]Mapa de Calor inherente'!$AD$10,'[9]Mapa de Calor inherente'!$AE$10))))))))))))))</f>
        <v>0.2</v>
      </c>
      <c r="S292" s="292" t="e">
        <f>IF(N292="","",IF(R292="","",(N292*R292)))</f>
        <v>#VALUE!</v>
      </c>
      <c r="T292" s="603" t="str">
        <f>+IF(N292=$BB$17,IF(Q292=$BC$16,$BC$17,IF(Q292=$BD$16,$BD$17,IF(Q292=$BE$16,$BE$17,IF(Q292=$BF$16,$BF$17,IF(Q292=$BG$16,$BG$17))))),IF(N292=$BB$18,IF(Q292=$BC$16,$BC$18,IF(Q292=$BD$16,$BD$18,IF(Q292=$BE$16,$BE$18,IF(Q292=$BF$16,$BF$18,IF(Q292=$BG$16,$BG$18))))),IF(N292=$BB$19,IF(Q292=$BC$16,$BC$19,IF(Q292=$BD$16,$BD$19,IF(Q292=$BE$16,$BE$19,IF(Q292=$BF$16,$BF$19,IF(Q292=$BG$16,$BG$19))))),IF(N292=$BB$20,IF(Q292=$BC$16,$BC$20,IF(Q292=$BD$16,$BD$20,IF(Q292=$BE$16,$BE$20,IF(Q292=$BF$16,$BF$20,IF(Q292=$BG$16,$BG$20))))),IF(N292=$BB$21,IF(Q292=$BC$16,$BC$21,IF(Q292=$BD$16,$BD$21,IF(Q292=$BE$16,$BE$21,IF(Q292=$BF$16,$BF$21,IF(Q292=$BG$16,$BG$21))))),"")))))</f>
        <v>Moderado</v>
      </c>
      <c r="U292" s="139" t="s">
        <v>171</v>
      </c>
      <c r="V292" s="449" t="s">
        <v>474</v>
      </c>
      <c r="W292" s="313" t="s">
        <v>40</v>
      </c>
      <c r="X292" s="314">
        <f>IF(W292=[9]Listas!$B$46,[9]Listas!$C$46,IF(W292=[9]Listas!$B$47,[9]Listas!$C$47,IF(W292=[9]Listas!$B$48,[9]Listas!$C$48,"")))</f>
        <v>0.25</v>
      </c>
      <c r="Y292" s="315" t="str">
        <f>IF(OR(W292=[9]Listas!$F$53,W292=[9]Listas!$F$54),[9]Listas!$G$53,IF(W292=[9]Listas!$F$55,[9]Listas!$G$55,""))</f>
        <v>Probabilidad</v>
      </c>
      <c r="Z292" s="313" t="s">
        <v>43</v>
      </c>
      <c r="AA292" s="314">
        <f>+IF(Z292=[9]Listas!$E$46,[9]Listas!$F$46,IF(Z292=[9]Listas!$E$47,[9]Listas!$F$47,""))</f>
        <v>0.15</v>
      </c>
      <c r="AB292" s="181">
        <f>IFERROR(X292+AA292,"")</f>
        <v>0.4</v>
      </c>
      <c r="AC292" s="313" t="s">
        <v>57</v>
      </c>
      <c r="AD292" s="316" t="s">
        <v>58</v>
      </c>
      <c r="AE292" s="317" t="s">
        <v>59</v>
      </c>
      <c r="AF292" s="299" t="str">
        <f t="shared" si="37"/>
        <v>Baja</v>
      </c>
      <c r="AG292" s="141">
        <f>IF(Y292=[9]Listas!$G$53,O292-(O292*AB292),O292)</f>
        <v>0.36</v>
      </c>
      <c r="AH292" s="561">
        <f>+IF(AG301="","",AG301)</f>
        <v>4.6655999999999996E-2</v>
      </c>
      <c r="AI292" s="299" t="str">
        <f>IF(AJ292="","",IF(AJ292&lt;=20%,"Leve",IF(AJ292&lt;=40%,"Menor",IF(AJ292&lt;=60%,"Moderado",IF(AJ292&lt;=80%,"Mayor","Catastrófico")))))</f>
        <v>Leve</v>
      </c>
      <c r="AJ292" s="141">
        <f>IF(Y292=[9]Listas!$G$55,R292-(R292*AB292),R292)</f>
        <v>0.2</v>
      </c>
      <c r="AK292" s="561">
        <f>+IF(AJ301="","",AJ301)</f>
        <v>0.2</v>
      </c>
      <c r="AL292" s="564" t="str">
        <f>+IF(AH292=0,"",IF(AH292&lt;=$BA$21,$BB$21,IF(AH292&lt;=$BA$20,$BB$20,IF(AH292&lt;=$BA$19,$BB$19,IF(AH292&lt;=$BA$18,$BB$18,IF(AH292&lt;=$BA$17,$BB$17,""))))))</f>
        <v>Muy Baja</v>
      </c>
      <c r="AM292" s="564" t="str">
        <f>+IF(AK292=0,"",IF(AK292&lt;=$BC$15,$BC$16,IF(AK292&lt;=$BD$15,$BD$16,IF(AK292&lt;=$BE$15,$BE$16,IF(AK292&lt;=$BF$15,$BF$16,IF(AK292&lt;=$BG$15,$BG$16,""))))))</f>
        <v>Leve</v>
      </c>
      <c r="AN292" s="564" t="str">
        <f>IF(AL292=$BB$17,IF(AM292=$BC$16,$BC$17,IF(AM292=$BD$16,$BD$17,IF(AM292=$BE$16,$BE$17,IF(AM292=$BF$16,$BF$17,IF(AM292=$BG$16,$BG$17))))),IF(AL292=$BB$18,IF(AM292=$BC$16,$BC$18,IF(AM292=$BD$16,$BD$18,IF(AM292=$BE$16,$BE$18,IF(AM292=$BF$16,$BF$18,IF(AM292=$BG$16,$BG$18))))),IF(AL292=$BB$19,IF(AM292=$BC$16,$BC$19,IF(AM292=$BD$16,$BD$19,IF(AM292=$BE$16,$BE$19,IF(AM292=$BF$16,$BF$19,IF(AM292=$BG$16,$BG$19))))),IF(AL292=$BB$20,IF(AM292=$BC$16,$BC$20,IF(AM292=$BD$16,$BD$20,IF(AM292=$BE$16,$BE$20,IF(AM292=$BF$16,$BF$20,IF(AM292=$BG$16,$BG$20))))),IF(AL292=$BB$21,IF(AM292=$BC$16,$BC$21,IF(AM292=$BD$16,$BD$21,IF(AM292=$BE$16,$BE$21,IF(AM292=$BF$16,$BF$21,IF(AM292=$BG$16,$BG$21))))),"")))))</f>
        <v>Bajo</v>
      </c>
      <c r="AO292" s="567" t="str">
        <f>IF(AP292="","",IF(AP292=[9]Listas!$F$61,[9]Listas!$G$61,IF(AP292=[9]Listas!$F$63,[9]Listas!$G$63,IF(AP292=[9]Listas!$F$64,[9]Listas!$G$64))))</f>
        <v>No requiere Plan de Acción</v>
      </c>
      <c r="AP292" s="570" t="str">
        <f>IF(AN292="","",IF(OR(AN292=[9]Listas!$E$61,AN292=[9]Listas!$E$62),[9]Listas!$F$61,IF(AN292=[9]Listas!$E$63,[9]Listas!$F$63,IF(AN292=[9]Listas!$E$64,[9]Listas!$F$64))))</f>
        <v>Aceptar  el riesgo</v>
      </c>
      <c r="AQ292" s="342" t="s">
        <v>90</v>
      </c>
      <c r="AR292" s="211" t="s">
        <v>400</v>
      </c>
    </row>
    <row r="293" spans="2:44" ht="48.75" customHeight="1" thickTop="1" thickBot="1" x14ac:dyDescent="0.4">
      <c r="B293" s="870"/>
      <c r="C293" s="560"/>
      <c r="D293" s="745" t="s">
        <v>475</v>
      </c>
      <c r="E293" s="577"/>
      <c r="F293" s="625"/>
      <c r="G293" s="628"/>
      <c r="H293" s="628"/>
      <c r="I293" s="589"/>
      <c r="J293" s="589"/>
      <c r="K293" s="592"/>
      <c r="L293" s="589"/>
      <c r="M293" s="595"/>
      <c r="N293" s="598"/>
      <c r="O293" s="601"/>
      <c r="P293" s="595"/>
      <c r="Q293" s="604"/>
      <c r="R293" s="601"/>
      <c r="S293" s="286"/>
      <c r="T293" s="604"/>
      <c r="U293" s="142" t="s">
        <v>174</v>
      </c>
      <c r="V293" s="448" t="s">
        <v>476</v>
      </c>
      <c r="W293" s="319" t="s">
        <v>40</v>
      </c>
      <c r="X293" s="320">
        <f>IF(W293=[9]Listas!$B$46,[9]Listas!$C$46,IF(W293=[9]Listas!$B$47,[9]Listas!$C$47,IF(W293=[9]Listas!$B$48,[9]Listas!$C$48,"")))</f>
        <v>0.25</v>
      </c>
      <c r="Y293" s="321" t="str">
        <f>IF(OR(W293=[9]Listas!$F$53,W293=[9]Listas!$F$54),[9]Listas!$G$53,IF(W293=[9]Listas!$F$55,[9]Listas!$G$55,""))</f>
        <v>Probabilidad</v>
      </c>
      <c r="Z293" s="319" t="s">
        <v>43</v>
      </c>
      <c r="AA293" s="182">
        <f>+IF(Z293=[9]Listas!$E$46,[9]Listas!$F$46,IF(Z293=[9]Listas!$E$47,[9]Listas!$F$47,""))</f>
        <v>0.15</v>
      </c>
      <c r="AB293" s="183">
        <f>IFERROR(X293+AA293,"")</f>
        <v>0.4</v>
      </c>
      <c r="AC293" s="319" t="s">
        <v>57</v>
      </c>
      <c r="AD293" s="322" t="s">
        <v>58</v>
      </c>
      <c r="AE293" s="323" t="s">
        <v>59</v>
      </c>
      <c r="AF293" s="305" t="str">
        <f t="shared" si="37"/>
        <v>Baja</v>
      </c>
      <c r="AG293" s="145">
        <f>IF(Y293=[9]Listas!$G$53,AG292-(AG292*AB293),AG292)</f>
        <v>0.216</v>
      </c>
      <c r="AH293" s="562"/>
      <c r="AI293" s="305" t="str">
        <f t="shared" ref="AI293:AI301" si="42">IF(AJ293="","",IF(AJ293&lt;=20%,"Leve",IF(AJ293&lt;=40%,"Menor",IF(AJ293&lt;=60%,"Moderado",IF(AJ293&lt;=80%,"Mayor","Catastrófico")))))</f>
        <v>Leve</v>
      </c>
      <c r="AJ293" s="145">
        <f>IF(Y293=[9]Listas!$G$55,AJ292-(AJ292*AB293),AJ292)</f>
        <v>0.2</v>
      </c>
      <c r="AK293" s="562"/>
      <c r="AL293" s="565"/>
      <c r="AM293" s="565"/>
      <c r="AN293" s="565"/>
      <c r="AO293" s="568"/>
      <c r="AP293" s="571"/>
      <c r="AQ293" s="343"/>
      <c r="AR293" s="191"/>
    </row>
    <row r="294" spans="2:44" ht="49.5" customHeight="1" thickTop="1" thickBot="1" x14ac:dyDescent="0.4">
      <c r="B294" s="870"/>
      <c r="C294" s="560"/>
      <c r="D294" s="745" t="s">
        <v>475</v>
      </c>
      <c r="E294" s="577"/>
      <c r="F294" s="625"/>
      <c r="G294" s="628"/>
      <c r="H294" s="628"/>
      <c r="I294" s="589"/>
      <c r="J294" s="589"/>
      <c r="K294" s="592"/>
      <c r="L294" s="589"/>
      <c r="M294" s="595"/>
      <c r="N294" s="598"/>
      <c r="O294" s="601"/>
      <c r="P294" s="595"/>
      <c r="Q294" s="604"/>
      <c r="R294" s="601"/>
      <c r="S294" s="287"/>
      <c r="T294" s="604"/>
      <c r="U294" s="142" t="s">
        <v>180</v>
      </c>
      <c r="V294" s="438" t="s">
        <v>477</v>
      </c>
      <c r="W294" s="331" t="s">
        <v>40</v>
      </c>
      <c r="X294" s="320">
        <f>IF(W294=[9]Listas!$B$46,[9]Listas!$C$46,IF(W294=[9]Listas!$B$47,[9]Listas!$C$47,IF(W294=[9]Listas!$B$48,[9]Listas!$C$48,"")))</f>
        <v>0.25</v>
      </c>
      <c r="Y294" s="321" t="str">
        <f>IF(OR(W294=[9]Listas!$F$53,W294=[9]Listas!$F$54),[9]Listas!$G$53,IF(W294=[9]Listas!$F$55,[9]Listas!$G$55,""))</f>
        <v>Probabilidad</v>
      </c>
      <c r="Z294" s="319" t="s">
        <v>43</v>
      </c>
      <c r="AA294" s="182">
        <f>+IF(Z294=[9]Listas!$E$46,[9]Listas!$F$46,IF(Z294=[9]Listas!$E$47,[9]Listas!$F$47,""))</f>
        <v>0.15</v>
      </c>
      <c r="AB294" s="183">
        <f>IFERROR(X294+AA294,"")</f>
        <v>0.4</v>
      </c>
      <c r="AC294" s="319" t="s">
        <v>57</v>
      </c>
      <c r="AD294" s="322" t="s">
        <v>58</v>
      </c>
      <c r="AE294" s="323" t="s">
        <v>59</v>
      </c>
      <c r="AF294" s="305" t="str">
        <f t="shared" si="37"/>
        <v>Muy baja</v>
      </c>
      <c r="AG294" s="145">
        <f>IF(Y294=[9]Listas!$G$53,AG293-(AG293*AB294),AG293)</f>
        <v>0.12959999999999999</v>
      </c>
      <c r="AH294" s="562"/>
      <c r="AI294" s="305" t="str">
        <f t="shared" si="42"/>
        <v>Leve</v>
      </c>
      <c r="AJ294" s="145">
        <f>IF(Y294=[9]Listas!$G$55,AJ293-(AJ293*AB294),AJ293)</f>
        <v>0.2</v>
      </c>
      <c r="AK294" s="562"/>
      <c r="AL294" s="565"/>
      <c r="AM294" s="565"/>
      <c r="AN294" s="565"/>
      <c r="AO294" s="568"/>
      <c r="AP294" s="571"/>
      <c r="AQ294" s="344"/>
      <c r="AR294" s="191"/>
    </row>
    <row r="295" spans="2:44" ht="69" customHeight="1" thickTop="1" thickBot="1" x14ac:dyDescent="0.4">
      <c r="B295" s="870"/>
      <c r="C295" s="560"/>
      <c r="D295" s="745" t="s">
        <v>475</v>
      </c>
      <c r="E295" s="577"/>
      <c r="F295" s="625"/>
      <c r="G295" s="628"/>
      <c r="H295" s="628"/>
      <c r="I295" s="589"/>
      <c r="J295" s="589"/>
      <c r="K295" s="592"/>
      <c r="L295" s="589"/>
      <c r="M295" s="595"/>
      <c r="N295" s="598"/>
      <c r="O295" s="601"/>
      <c r="P295" s="595"/>
      <c r="Q295" s="604"/>
      <c r="R295" s="601"/>
      <c r="S295" s="287"/>
      <c r="T295" s="604"/>
      <c r="U295" s="142" t="s">
        <v>190</v>
      </c>
      <c r="V295" s="438" t="s">
        <v>478</v>
      </c>
      <c r="W295" s="319" t="s">
        <v>40</v>
      </c>
      <c r="X295" s="320">
        <f>IF(W295=[9]Listas!$B$46,[9]Listas!$C$46,IF(W295=[9]Listas!$B$47,[9]Listas!$C$47,IF(W295=[9]Listas!$B$48,[9]Listas!$C$48,"")))</f>
        <v>0.25</v>
      </c>
      <c r="Y295" s="321" t="str">
        <f>IF(OR(W295=[9]Listas!$F$53,W295=[9]Listas!$F$54),[9]Listas!$G$53,IF(W295=[9]Listas!$F$55,[9]Listas!$G$55,""))</f>
        <v>Probabilidad</v>
      </c>
      <c r="Z295" s="319" t="s">
        <v>43</v>
      </c>
      <c r="AA295" s="182">
        <f>+IF(Z295=[9]Listas!$E$46,[9]Listas!$F$46,IF(Z295=[9]Listas!$E$47,[9]Listas!$F$47,""))</f>
        <v>0.15</v>
      </c>
      <c r="AB295" s="183">
        <f t="shared" ref="AB295:AB301" si="43">IFERROR(X295+AA295,"")</f>
        <v>0.4</v>
      </c>
      <c r="AC295" s="319" t="s">
        <v>57</v>
      </c>
      <c r="AD295" s="322" t="s">
        <v>58</v>
      </c>
      <c r="AE295" s="323" t="s">
        <v>59</v>
      </c>
      <c r="AF295" s="305" t="str">
        <f t="shared" si="37"/>
        <v>Muy baja</v>
      </c>
      <c r="AG295" s="145">
        <f>IF(Y295=[9]Listas!$G$53,AG294-(AG294*AB295),AG294)</f>
        <v>7.7759999999999996E-2</v>
      </c>
      <c r="AH295" s="562"/>
      <c r="AI295" s="305" t="str">
        <f t="shared" si="42"/>
        <v>Leve</v>
      </c>
      <c r="AJ295" s="145">
        <f>IF(Y295=[9]Listas!$G$55,AJ294-(AJ294*AB295),AJ294)</f>
        <v>0.2</v>
      </c>
      <c r="AK295" s="562"/>
      <c r="AL295" s="565"/>
      <c r="AM295" s="565"/>
      <c r="AN295" s="565"/>
      <c r="AO295" s="568"/>
      <c r="AP295" s="571"/>
      <c r="AQ295" s="343"/>
      <c r="AR295" s="191"/>
    </row>
    <row r="296" spans="2:44" ht="79.5" customHeight="1" thickTop="1" thickBot="1" x14ac:dyDescent="0.4">
      <c r="B296" s="870"/>
      <c r="C296" s="560"/>
      <c r="D296" s="745" t="s">
        <v>475</v>
      </c>
      <c r="E296" s="577"/>
      <c r="F296" s="625"/>
      <c r="G296" s="628"/>
      <c r="H296" s="628"/>
      <c r="I296" s="589"/>
      <c r="J296" s="589"/>
      <c r="K296" s="592"/>
      <c r="L296" s="589"/>
      <c r="M296" s="595"/>
      <c r="N296" s="598"/>
      <c r="O296" s="601"/>
      <c r="P296" s="595"/>
      <c r="Q296" s="604"/>
      <c r="R296" s="601"/>
      <c r="S296" s="287"/>
      <c r="T296" s="604"/>
      <c r="U296" s="142" t="s">
        <v>198</v>
      </c>
      <c r="V296" s="448" t="s">
        <v>479</v>
      </c>
      <c r="W296" s="331" t="s">
        <v>40</v>
      </c>
      <c r="X296" s="320">
        <f>IF(W296=[9]Listas!$B$46,[9]Listas!$C$46,IF(W296=[9]Listas!$B$47,[9]Listas!$C$47,IF(W296=[9]Listas!$B$48,[9]Listas!$C$48,"")))</f>
        <v>0.25</v>
      </c>
      <c r="Y296" s="321" t="str">
        <f>IF(OR(W296=[9]Listas!$F$53,W296=[9]Listas!$F$54),[9]Listas!$G$53,IF(W296=[9]Listas!$F$55,[9]Listas!$G$55,""))</f>
        <v>Probabilidad</v>
      </c>
      <c r="Z296" s="331" t="s">
        <v>43</v>
      </c>
      <c r="AA296" s="182">
        <f>+IF(Z296=[9]Listas!$E$46,[9]Listas!$F$46,IF(Z296=[9]Listas!$E$47,[9]Listas!$F$47,""))</f>
        <v>0.15</v>
      </c>
      <c r="AB296" s="183">
        <f t="shared" si="43"/>
        <v>0.4</v>
      </c>
      <c r="AC296" s="319" t="s">
        <v>57</v>
      </c>
      <c r="AD296" s="322" t="s">
        <v>58</v>
      </c>
      <c r="AE296" s="323" t="s">
        <v>59</v>
      </c>
      <c r="AF296" s="305" t="str">
        <f t="shared" si="37"/>
        <v>Muy baja</v>
      </c>
      <c r="AG296" s="145">
        <f>IF(Y296=[9]Listas!$G$53,AG295-(AG295*AB296),AG295)</f>
        <v>4.6655999999999996E-2</v>
      </c>
      <c r="AH296" s="562"/>
      <c r="AI296" s="305" t="str">
        <f t="shared" si="42"/>
        <v>Leve</v>
      </c>
      <c r="AJ296" s="145">
        <f>IF(Y296=[9]Listas!$G$55,AJ295-(AJ295*AB296),AJ295)</f>
        <v>0.2</v>
      </c>
      <c r="AK296" s="562"/>
      <c r="AL296" s="565"/>
      <c r="AM296" s="565"/>
      <c r="AN296" s="565"/>
      <c r="AO296" s="568"/>
      <c r="AP296" s="571"/>
      <c r="AQ296" s="343"/>
      <c r="AR296" s="191"/>
    </row>
    <row r="297" spans="2:44" ht="16" hidden="1" customHeight="1" x14ac:dyDescent="0.35">
      <c r="B297" s="870"/>
      <c r="C297" s="560"/>
      <c r="D297" s="745" t="s">
        <v>475</v>
      </c>
      <c r="E297" s="577"/>
      <c r="F297" s="625"/>
      <c r="G297" s="628"/>
      <c r="H297" s="628"/>
      <c r="I297" s="589"/>
      <c r="J297" s="589"/>
      <c r="K297" s="592"/>
      <c r="L297" s="589"/>
      <c r="M297" s="595"/>
      <c r="N297" s="598"/>
      <c r="O297" s="601"/>
      <c r="P297" s="595"/>
      <c r="Q297" s="604"/>
      <c r="R297" s="601"/>
      <c r="S297" s="288"/>
      <c r="T297" s="604"/>
      <c r="U297" s="142" t="s">
        <v>208</v>
      </c>
      <c r="V297" s="418"/>
      <c r="W297" s="331"/>
      <c r="X297" s="320" t="str">
        <f>IF(W297=[9]Listas!$B$46,[9]Listas!$C$46,IF(W297=[9]Listas!$B$47,[9]Listas!$C$47,IF(W297=[9]Listas!$B$48,[9]Listas!$C$48,"")))</f>
        <v/>
      </c>
      <c r="Y297" s="321" t="str">
        <f>IF(OR(W297=[9]Listas!$F$53,W297=[9]Listas!$F$54),[9]Listas!$G$53,IF(W297=[9]Listas!$F$55,[9]Listas!$G$55,""))</f>
        <v/>
      </c>
      <c r="Z297" s="331"/>
      <c r="AA297" s="182" t="str">
        <f>+IF(Z297=[9]Listas!$E$46,[9]Listas!$F$46,IF(Z297=[9]Listas!$E$47,[9]Listas!$F$47,""))</f>
        <v/>
      </c>
      <c r="AB297" s="183" t="str">
        <f t="shared" si="43"/>
        <v/>
      </c>
      <c r="AC297" s="319"/>
      <c r="AD297" s="322"/>
      <c r="AE297" s="323"/>
      <c r="AF297" s="305" t="str">
        <f t="shared" si="37"/>
        <v>Muy baja</v>
      </c>
      <c r="AG297" s="145">
        <f>IF(Y297=[9]Listas!$G$53,AG296-(AG296*AB297),AG296)</f>
        <v>4.6655999999999996E-2</v>
      </c>
      <c r="AH297" s="562"/>
      <c r="AI297" s="305" t="str">
        <f t="shared" si="42"/>
        <v>Leve</v>
      </c>
      <c r="AJ297" s="145">
        <f>IF(Y297=[9]Listas!$G$55,AJ296-(AJ296*AB297),AJ296)</f>
        <v>0.2</v>
      </c>
      <c r="AK297" s="562"/>
      <c r="AL297" s="565"/>
      <c r="AM297" s="565"/>
      <c r="AN297" s="565"/>
      <c r="AO297" s="568"/>
      <c r="AP297" s="571"/>
      <c r="AQ297" s="343"/>
      <c r="AR297" s="191"/>
    </row>
    <row r="298" spans="2:44" ht="16" hidden="1" customHeight="1" thickTop="1" thickBot="1" x14ac:dyDescent="0.4">
      <c r="B298" s="870"/>
      <c r="C298" s="560"/>
      <c r="D298" s="745" t="s">
        <v>475</v>
      </c>
      <c r="E298" s="577"/>
      <c r="F298" s="625"/>
      <c r="G298" s="628"/>
      <c r="H298" s="628"/>
      <c r="I298" s="589"/>
      <c r="J298" s="589"/>
      <c r="K298" s="592"/>
      <c r="L298" s="589"/>
      <c r="M298" s="595"/>
      <c r="N298" s="598"/>
      <c r="O298" s="601"/>
      <c r="P298" s="595"/>
      <c r="Q298" s="604"/>
      <c r="R298" s="601"/>
      <c r="S298" s="289"/>
      <c r="T298" s="604"/>
      <c r="U298" s="142" t="s">
        <v>215</v>
      </c>
      <c r="V298" s="418"/>
      <c r="W298" s="331"/>
      <c r="X298" s="320" t="str">
        <f>IF(W298=[9]Listas!$B$46,[9]Listas!$C$46,IF(W298=[9]Listas!$B$47,[9]Listas!$C$47,IF(W298=[9]Listas!$B$48,[9]Listas!$C$48,"")))</f>
        <v/>
      </c>
      <c r="Y298" s="321" t="str">
        <f>IF(OR(W298=[9]Listas!$F$53,W298=[9]Listas!$F$54),[9]Listas!$G$53,IF(W298=[9]Listas!$F$55,[9]Listas!$G$55,""))</f>
        <v/>
      </c>
      <c r="Z298" s="331"/>
      <c r="AA298" s="182" t="str">
        <f>+IF(Z298=[9]Listas!$E$46,[9]Listas!$F$46,IF(Z298=[9]Listas!$E$47,[9]Listas!$F$47,""))</f>
        <v/>
      </c>
      <c r="AB298" s="183" t="str">
        <f t="shared" si="43"/>
        <v/>
      </c>
      <c r="AC298" s="319"/>
      <c r="AD298" s="322"/>
      <c r="AE298" s="323"/>
      <c r="AF298" s="305" t="str">
        <f t="shared" si="37"/>
        <v>Muy baja</v>
      </c>
      <c r="AG298" s="145">
        <f>IF(Y298=[9]Listas!$G$53,AG297-(AG297*AB298),AG297)</f>
        <v>4.6655999999999996E-2</v>
      </c>
      <c r="AH298" s="562"/>
      <c r="AI298" s="305" t="str">
        <f t="shared" si="42"/>
        <v>Leve</v>
      </c>
      <c r="AJ298" s="145">
        <f>IF(Y298=[9]Listas!$G$55,AJ297-(AJ297*AB298),AJ297)</f>
        <v>0.2</v>
      </c>
      <c r="AK298" s="562"/>
      <c r="AL298" s="565"/>
      <c r="AM298" s="565"/>
      <c r="AN298" s="565"/>
      <c r="AO298" s="568"/>
      <c r="AP298" s="571"/>
      <c r="AQ298" s="343"/>
      <c r="AR298" s="191"/>
    </row>
    <row r="299" spans="2:44" ht="16" hidden="1" customHeight="1" thickTop="1" thickBot="1" x14ac:dyDescent="0.4">
      <c r="B299" s="870"/>
      <c r="C299" s="560"/>
      <c r="D299" s="745" t="s">
        <v>475</v>
      </c>
      <c r="E299" s="577"/>
      <c r="F299" s="625"/>
      <c r="G299" s="628"/>
      <c r="H299" s="628"/>
      <c r="I299" s="589"/>
      <c r="J299" s="589"/>
      <c r="K299" s="592"/>
      <c r="L299" s="589"/>
      <c r="M299" s="595"/>
      <c r="N299" s="598"/>
      <c r="O299" s="601"/>
      <c r="P299" s="595"/>
      <c r="Q299" s="604"/>
      <c r="R299" s="601"/>
      <c r="S299" s="289"/>
      <c r="T299" s="604"/>
      <c r="U299" s="142" t="s">
        <v>220</v>
      </c>
      <c r="V299" s="418"/>
      <c r="W299" s="331"/>
      <c r="X299" s="320" t="str">
        <f>IF(W299=[9]Listas!$B$46,[9]Listas!$C$46,IF(W299=[9]Listas!$B$47,[9]Listas!$C$47,IF(W299=[9]Listas!$B$48,[9]Listas!$C$48,"")))</f>
        <v/>
      </c>
      <c r="Y299" s="321" t="str">
        <f>IF(OR(W299=[9]Listas!$F$53,W299=[9]Listas!$F$54),[9]Listas!$G$53,IF(W299=[9]Listas!$F$55,[9]Listas!$G$55,""))</f>
        <v/>
      </c>
      <c r="Z299" s="331"/>
      <c r="AA299" s="182" t="str">
        <f>+IF(Z299=[9]Listas!$E$46,[9]Listas!$F$46,IF(Z299=[9]Listas!$E$47,[9]Listas!$F$47,""))</f>
        <v/>
      </c>
      <c r="AB299" s="183" t="str">
        <f t="shared" si="43"/>
        <v/>
      </c>
      <c r="AC299" s="319"/>
      <c r="AD299" s="322"/>
      <c r="AE299" s="323"/>
      <c r="AF299" s="305" t="str">
        <f t="shared" si="37"/>
        <v>Muy baja</v>
      </c>
      <c r="AG299" s="145">
        <f>IF(Y299=[9]Listas!$G$53,AG298-(AG298*AB299),AG298)</f>
        <v>4.6655999999999996E-2</v>
      </c>
      <c r="AH299" s="562"/>
      <c r="AI299" s="305" t="str">
        <f t="shared" si="42"/>
        <v>Leve</v>
      </c>
      <c r="AJ299" s="145">
        <f>IF(Y299=[9]Listas!$G$55,AJ298-(AJ298*AB299),AJ298)</f>
        <v>0.2</v>
      </c>
      <c r="AK299" s="562"/>
      <c r="AL299" s="565"/>
      <c r="AM299" s="565"/>
      <c r="AN299" s="565"/>
      <c r="AO299" s="568"/>
      <c r="AP299" s="571"/>
      <c r="AQ299" s="343"/>
      <c r="AR299" s="191"/>
    </row>
    <row r="300" spans="2:44" ht="16" hidden="1" customHeight="1" thickTop="1" thickBot="1" x14ac:dyDescent="0.4">
      <c r="B300" s="870"/>
      <c r="C300" s="560"/>
      <c r="D300" s="745" t="s">
        <v>475</v>
      </c>
      <c r="E300" s="577"/>
      <c r="F300" s="625"/>
      <c r="G300" s="628"/>
      <c r="H300" s="628"/>
      <c r="I300" s="589"/>
      <c r="J300" s="589"/>
      <c r="K300" s="592"/>
      <c r="L300" s="589"/>
      <c r="M300" s="595"/>
      <c r="N300" s="598"/>
      <c r="O300" s="601"/>
      <c r="P300" s="595"/>
      <c r="Q300" s="604"/>
      <c r="R300" s="601"/>
      <c r="S300" s="289"/>
      <c r="T300" s="604"/>
      <c r="U300" s="142" t="s">
        <v>223</v>
      </c>
      <c r="V300" s="418"/>
      <c r="W300" s="331"/>
      <c r="X300" s="320" t="str">
        <f>IF(W300=[9]Listas!$B$46,[9]Listas!$C$46,IF(W300=[9]Listas!$B$47,[9]Listas!$C$47,IF(W300=[9]Listas!$B$48,[9]Listas!$C$48,"")))</f>
        <v/>
      </c>
      <c r="Y300" s="321" t="str">
        <f>IF(OR(W300=[9]Listas!$F$53,W300=[9]Listas!$F$54),[9]Listas!$G$53,IF(W300=[9]Listas!$F$55,[9]Listas!$G$55,""))</f>
        <v/>
      </c>
      <c r="Z300" s="331"/>
      <c r="AA300" s="182" t="str">
        <f>+IF(Z300=[9]Listas!$E$46,[9]Listas!$F$46,IF(Z300=[9]Listas!$E$47,[9]Listas!$F$47,""))</f>
        <v/>
      </c>
      <c r="AB300" s="183" t="str">
        <f t="shared" si="43"/>
        <v/>
      </c>
      <c r="AC300" s="319"/>
      <c r="AD300" s="322"/>
      <c r="AE300" s="323"/>
      <c r="AF300" s="305" t="str">
        <f t="shared" si="37"/>
        <v>Muy baja</v>
      </c>
      <c r="AG300" s="145">
        <f>IF(Y300=[9]Listas!$G$53,AG299-(AG299*AB300),AG299)</f>
        <v>4.6655999999999996E-2</v>
      </c>
      <c r="AH300" s="562"/>
      <c r="AI300" s="305" t="str">
        <f t="shared" si="42"/>
        <v>Leve</v>
      </c>
      <c r="AJ300" s="145">
        <f>IF(Y300=[9]Listas!$G$55,AJ299-(AJ299*AB300),AJ299)</f>
        <v>0.2</v>
      </c>
      <c r="AK300" s="562"/>
      <c r="AL300" s="565"/>
      <c r="AM300" s="565"/>
      <c r="AN300" s="565"/>
      <c r="AO300" s="568"/>
      <c r="AP300" s="571"/>
      <c r="AQ300" s="344"/>
      <c r="AR300" s="191"/>
    </row>
    <row r="301" spans="2:44" ht="16" hidden="1" customHeight="1" thickTop="1" thickBot="1" x14ac:dyDescent="0.4">
      <c r="B301" s="870"/>
      <c r="C301" s="560"/>
      <c r="D301" s="746" t="s">
        <v>475</v>
      </c>
      <c r="E301" s="578"/>
      <c r="F301" s="626"/>
      <c r="G301" s="629"/>
      <c r="H301" s="629"/>
      <c r="I301" s="590"/>
      <c r="J301" s="590"/>
      <c r="K301" s="593"/>
      <c r="L301" s="590"/>
      <c r="M301" s="596"/>
      <c r="N301" s="599"/>
      <c r="O301" s="602"/>
      <c r="P301" s="596"/>
      <c r="Q301" s="605"/>
      <c r="R301" s="602"/>
      <c r="S301" s="293"/>
      <c r="T301" s="605"/>
      <c r="U301" s="202" t="s">
        <v>224</v>
      </c>
      <c r="V301" s="416"/>
      <c r="W301" s="335"/>
      <c r="X301" s="336" t="str">
        <f>IF(W301=[9]Listas!$B$46,[9]Listas!$C$46,IF(W301=[9]Listas!$B$47,[9]Listas!$C$47,IF(W301=[9]Listas!$B$48,[9]Listas!$C$48,"")))</f>
        <v/>
      </c>
      <c r="Y301" s="337" t="str">
        <f>IF(OR(W301=[9]Listas!$F$53,W301=[9]Listas!$F$54),[9]Listas!$G$53,IF(W301=[9]Listas!$F$55,[9]Listas!$G$55,""))</f>
        <v/>
      </c>
      <c r="Z301" s="335"/>
      <c r="AA301" s="186" t="str">
        <f>+IF(Z301=[9]Listas!$E$46,[9]Listas!$F$46,IF(Z301=[9]Listas!$E$47,[9]Listas!$F$47,""))</f>
        <v/>
      </c>
      <c r="AB301" s="187" t="str">
        <f t="shared" si="43"/>
        <v/>
      </c>
      <c r="AC301" s="338"/>
      <c r="AD301" s="339"/>
      <c r="AE301" s="340"/>
      <c r="AF301" s="311" t="str">
        <f t="shared" si="37"/>
        <v>Muy baja</v>
      </c>
      <c r="AG301" s="179">
        <f>IF(Y301=[9]Listas!$G$53,AG300-(AG300*AB301),AG300)</f>
        <v>4.6655999999999996E-2</v>
      </c>
      <c r="AH301" s="563"/>
      <c r="AI301" s="311" t="str">
        <f t="shared" si="42"/>
        <v>Leve</v>
      </c>
      <c r="AJ301" s="179">
        <f>IF(Y301=[9]Listas!$G$55,AJ300-(AJ300*AB301),AJ300)</f>
        <v>0.2</v>
      </c>
      <c r="AK301" s="563"/>
      <c r="AL301" s="566"/>
      <c r="AM301" s="566"/>
      <c r="AN301" s="566"/>
      <c r="AO301" s="569"/>
      <c r="AP301" s="572"/>
      <c r="AQ301" s="346"/>
      <c r="AR301" s="192"/>
    </row>
    <row r="302" spans="2:44" ht="245.15" customHeight="1" thickTop="1" thickBot="1" x14ac:dyDescent="0.4">
      <c r="B302" s="870"/>
      <c r="C302" s="560"/>
      <c r="D302" s="744" t="s">
        <v>480</v>
      </c>
      <c r="E302" s="768" t="s">
        <v>4</v>
      </c>
      <c r="F302" s="855" t="s">
        <v>481</v>
      </c>
      <c r="G302" s="820" t="s">
        <v>482</v>
      </c>
      <c r="H302" s="820" t="s">
        <v>483</v>
      </c>
      <c r="I302" s="726" t="s">
        <v>28</v>
      </c>
      <c r="J302" s="726" t="s">
        <v>22</v>
      </c>
      <c r="K302" s="823" t="s">
        <v>484</v>
      </c>
      <c r="L302" s="726" t="s">
        <v>168</v>
      </c>
      <c r="M302" s="723" t="s">
        <v>214</v>
      </c>
      <c r="N302" s="597" t="str">
        <f>+IF(M302="","",IF(M302=$BO$15,$BN$15,IF(M302=$BO$16,$BN$16,IF(M302=$BO$17,$BN$17,IF(M302=$BO$18,$BN$18,IF(M302=$BO$19,$BN$19))))))</f>
        <v>Media</v>
      </c>
      <c r="O302" s="729">
        <f>+IF(M302="","",IF(M302=$BO$15,$BR$15,IF(M302=$BO$16,$BR$16,IF(M302=$BO$17,$BR$17,IF(M302=$BO$18,$BR$18,IF(M302=$BO$19,$BR$19))))))</f>
        <v>0.6</v>
      </c>
      <c r="P302" s="723" t="s">
        <v>195</v>
      </c>
      <c r="Q302" s="603" t="str">
        <f>+IF(P302="","",IF(P302='[9]Mapa de Calor inherente'!$AF$6,'[9]Mapa de Calor inherente'!$AD$6,IF(P302='[9]Mapa de Calor inherente'!$AF$7,'[9]Mapa de Calor inherente'!$AD$7,IF(P302='[9]Mapa de Calor inherente'!$AF$8,'[9]Mapa de Calor inherente'!$AD$8,IF(P302='[9]Mapa de Calor inherente'!$AF$9,'[9]Mapa de Calor inherente'!$AD$9,IF(P302='[9]Mapa de Calor inherente'!$AF$10,'[9]Mapa de Calor inherente'!$AD$10,IF(P302='[9]Mapa de Calor inherente'!$AG$6,'[9]Mapa de Calor inherente'!$AD$6,IF(P302='[9]Mapa de Calor inherente'!$AG$7,'[9]Mapa de Calor inherente'!$AD$7,IF(P302='[9]Mapa de Calor inherente'!$AG$8,'[9]Mapa de Calor inherente'!$AD$8,IF(P302='[9]Mapa de Calor inherente'!$AG$9,'[9]Mapa de Calor inherente'!$AD$9,IF(P302='[9]Mapa de Calor inherente'!$AG$10,'[9]Mapa de Calor inherente'!$AD$10,IF(P302='[9]Mapa de Calor inherente'!$AD$8,'[9]Mapa de Calor inherente'!$AD$8,IF(P302='[9]Mapa de Calor inherente'!$AD$9,'[9]Mapa de Calor inherente'!$AD$9,IF(P302='[9]Mapa de Calor inherente'!$AD$10,'[9]Mapa de Calor inherente'!$AD$10))))))))))))))</f>
        <v>Leve</v>
      </c>
      <c r="R302" s="729">
        <f>+IF(P302="","",IF(P302='[9]Mapa de Calor inherente'!$AF$6,'[9]Mapa de Calor inherente'!$AE$6,IF(P302='[9]Mapa de Calor inherente'!$AF$7,'[9]Mapa de Calor inherente'!$AE$7,IF(P302='[9]Mapa de Calor inherente'!$AF$8,'[9]Mapa de Calor inherente'!$AE$8,IF(P302='[9]Mapa de Calor inherente'!$AF$9,'[9]Mapa de Calor inherente'!$AE$9,IF(P302='[9]Mapa de Calor inherente'!$AF$10,'[9]Mapa de Calor inherente'!$AE$10,IF(P302='[9]Mapa de Calor inherente'!$AG$6,'[9]Mapa de Calor inherente'!$AE$6,IF(P302='[9]Mapa de Calor inherente'!$AG$7,'[9]Mapa de Calor inherente'!$AE$7,IF(P302='[9]Mapa de Calor inherente'!$AG$8,'[9]Mapa de Calor inherente'!$AE$8,IF(P302='[9]Mapa de Calor inherente'!$AG$9,'[9]Mapa de Calor inherente'!$AE$9,IF(P302='[9]Mapa de Calor inherente'!$AG$10,'[9]Mapa de Calor inherente'!$AE$10,IF(P302='[9]Mapa de Calor inherente'!$AD$8,'[9]Mapa de Calor inherente'!$AE$8,IF(P302='[9]Mapa de Calor inherente'!$AD$9,'[9]Mapa de Calor inherente'!$AE$9,IF(P302='[9]Mapa de Calor inherente'!$AD$10,'[9]Mapa de Calor inherente'!$AE$10))))))))))))))</f>
        <v>0.2</v>
      </c>
      <c r="S302" s="282" t="e">
        <f>IF(N302="","",IF(R302="","",(N302*R302)))</f>
        <v>#VALUE!</v>
      </c>
      <c r="T302" s="606" t="str">
        <f>+IF(N302=$BB$17,IF(Q302=$BC$16,$BC$17,IF(Q302=$BD$16,$BD$17,IF(Q302=$BE$16,$BE$17,IF(Q302=$BF$16,$BF$17,IF(Q302=$BG$16,$BG$17))))),IF(N302=$BB$18,IF(Q302=$BC$16,$BC$18,IF(Q302=$BD$16,$BD$18,IF(Q302=$BE$16,$BE$18,IF(Q302=$BF$16,$BF$18,IF(Q302=$BG$16,$BG$18))))),IF(N302=$BB$19,IF(Q302=$BC$16,$BC$19,IF(Q302=$BD$16,$BD$19,IF(Q302=$BE$16,$BE$19,IF(Q302=$BF$16,$BF$19,IF(Q302=$BG$16,$BG$19))))),IF(N302=$BB$20,IF(Q302=$BC$16,$BC$20,IF(Q302=$BD$16,$BD$20,IF(Q302=$BE$16,$BE$20,IF(Q302=$BF$16,$BF$20,IF(Q302=$BG$16,$BG$20))))),IF(N302=$BB$21,IF(Q302=$BC$16,$BC$21,IF(Q302=$BD$16,$BD$21,IF(Q302=$BE$16,$BE$21,IF(Q302=$BF$16,$BF$21,IF(Q302=$BG$16,$BG$21))))),"")))))</f>
        <v>Moderado</v>
      </c>
      <c r="U302" s="223" t="s">
        <v>171</v>
      </c>
      <c r="V302" s="454" t="s">
        <v>485</v>
      </c>
      <c r="W302" s="295" t="s">
        <v>40</v>
      </c>
      <c r="X302" s="296">
        <f>IF(W302=[9]Listas!$B$46,[9]Listas!$C$46,IF(W302=[9]Listas!$B$47,[9]Listas!$C$47,IF(W302=[9]Listas!$B$48,[9]Listas!$C$48,"")))</f>
        <v>0.25</v>
      </c>
      <c r="Y302" s="297" t="str">
        <f>IF(OR(W302=[9]Listas!$F$53,W302=[9]Listas!$F$54),[9]Listas!$G$53,IF(W302=[9]Listas!$F$55,[9]Listas!$G$55,""))</f>
        <v>Probabilidad</v>
      </c>
      <c r="Z302" s="295" t="s">
        <v>43</v>
      </c>
      <c r="AA302" s="296">
        <f>+IF(Z302=[9]Listas!$E$46,[9]Listas!$F$46,IF(Z302=[9]Listas!$E$47,[9]Listas!$F$47,""))</f>
        <v>0.15</v>
      </c>
      <c r="AB302" s="140">
        <f>IFERROR(X302+AA302,"")</f>
        <v>0.4</v>
      </c>
      <c r="AC302" s="295" t="s">
        <v>57</v>
      </c>
      <c r="AD302" s="295" t="s">
        <v>58</v>
      </c>
      <c r="AE302" s="370" t="s">
        <v>59</v>
      </c>
      <c r="AF302" s="299" t="str">
        <f t="shared" si="37"/>
        <v>Baja</v>
      </c>
      <c r="AG302" s="141">
        <f>IF(Y302=[9]Listas!$G$53,O302-(O302*AB302),O302)</f>
        <v>0.36</v>
      </c>
      <c r="AH302" s="561">
        <f>+IF(AG311="","",AG311)</f>
        <v>0.36</v>
      </c>
      <c r="AI302" s="299" t="str">
        <f>IF(AJ302="","",IF(AJ302&lt;=20%,"Leve",IF(AJ302&lt;=40%,"Menor",IF(AJ302&lt;=60%,"Moderado",IF(AJ302&lt;=80%,"Mayor","Catastrófico")))))</f>
        <v>Leve</v>
      </c>
      <c r="AJ302" s="141">
        <f>IF(Y302=[9]Listas!$G$55,R302-(R302*AB302),R302)</f>
        <v>0.2</v>
      </c>
      <c r="AK302" s="561">
        <f>+IF(AJ311="","",AJ311)</f>
        <v>0.2</v>
      </c>
      <c r="AL302" s="564" t="str">
        <f>+IF(AH302=0,"",IF(AH302&lt;=$BA$21,$BB$21,IF(AH302&lt;=$BA$20,$BB$20,IF(AH302&lt;=$BA$19,$BB$19,IF(AH302&lt;=$BA$18,$BB$18,IF(AH302&lt;=$BA$17,$BB$17,""))))))</f>
        <v>Baja</v>
      </c>
      <c r="AM302" s="564" t="str">
        <f>+IF(AK302=0,"",IF(AK302&lt;=$BC$15,$BC$16,IF(AK302&lt;=$BD$15,$BD$16,IF(AK302&lt;=$BE$15,$BE$16,IF(AK302&lt;=$BF$15,$BF$16,IF(AK302&lt;=$BG$15,$BG$16,""))))))</f>
        <v>Leve</v>
      </c>
      <c r="AN302" s="564" t="str">
        <f>IF(AL302=$BB$17,IF(AM302=$BC$16,$BC$17,IF(AM302=$BD$16,$BD$17,IF(AM302=$BE$16,$BE$17,IF(AM302=$BF$16,$BF$17,IF(AM302=$BG$16,$BG$17))))),IF(AL302=$BB$18,IF(AM302=$BC$16,$BC$18,IF(AM302=$BD$16,$BD$18,IF(AM302=$BE$16,$BE$18,IF(AM302=$BF$16,$BF$18,IF(AM302=$BG$16,$BG$18))))),IF(AL302=$BB$19,IF(AM302=$BC$16,$BC$19,IF(AM302=$BD$16,$BD$19,IF(AM302=$BE$16,$BE$19,IF(AM302=$BF$16,$BF$19,IF(AM302=$BG$16,$BG$19))))),IF(AL302=$BB$20,IF(AM302=$BC$16,$BC$20,IF(AM302=$BD$16,$BD$20,IF(AM302=$BE$16,$BE$20,IF(AM302=$BF$16,$BF$20,IF(AM302=$BG$16,$BG$20))))),IF(AL302=$BB$21,IF(AM302=$BC$16,$BC$21,IF(AM302=$BD$16,$BD$21,IF(AM302=$BE$16,$BE$21,IF(AM302=$BF$16,$BF$21,IF(AM302=$BG$16,$BG$21))))),"")))))</f>
        <v>Bajo</v>
      </c>
      <c r="AO302" s="852" t="str">
        <f>IF(AP302="","",IF(AP302=[9]Listas!$F$61,[9]Listas!$G$61,IF(AP302=[9]Listas!$F$63,[9]Listas!$G$63,IF(AP302=[9]Listas!$F$64,[9]Listas!$G$64))))</f>
        <v>No requiere Plan de Acción</v>
      </c>
      <c r="AP302" s="630" t="str">
        <f>IF(AN302="","",IF(OR(AN302=[9]Listas!$E$61,AN302=[9]Listas!$E$62),[9]Listas!$F$61,IF(AN302=[9]Listas!$E$63,[9]Listas!$F$63,IF(AN302=[9]Listas!$E$64,[9]Listas!$F$64))))</f>
        <v>Aceptar  el riesgo</v>
      </c>
      <c r="AQ302" s="300" t="s">
        <v>90</v>
      </c>
      <c r="AR302" s="224" t="s">
        <v>400</v>
      </c>
    </row>
    <row r="303" spans="2:44" ht="16" hidden="1" customHeight="1" thickTop="1" thickBot="1" x14ac:dyDescent="0.4">
      <c r="B303" s="870"/>
      <c r="C303" s="560"/>
      <c r="D303" s="745" t="s">
        <v>486</v>
      </c>
      <c r="E303" s="769"/>
      <c r="F303" s="856"/>
      <c r="G303" s="821"/>
      <c r="H303" s="821"/>
      <c r="I303" s="727"/>
      <c r="J303" s="727"/>
      <c r="K303" s="824"/>
      <c r="L303" s="727"/>
      <c r="M303" s="724"/>
      <c r="N303" s="598"/>
      <c r="O303" s="730"/>
      <c r="P303" s="724"/>
      <c r="Q303" s="604"/>
      <c r="R303" s="730"/>
      <c r="S303" s="283"/>
      <c r="T303" s="607"/>
      <c r="U303" s="225" t="s">
        <v>174</v>
      </c>
      <c r="V303" s="419"/>
      <c r="W303" s="301"/>
      <c r="X303" s="302" t="str">
        <f>IF(W303=[9]Listas!$B$46,[9]Listas!$C$46,IF(W303=[9]Listas!$B$47,[9]Listas!$C$47,IF(W303=[9]Listas!$B$48,[9]Listas!$C$48,"")))</f>
        <v/>
      </c>
      <c r="Y303" s="303" t="str">
        <f>IF(OR(W303=[9]Listas!$F$53,W303=[9]Listas!$F$54),[9]Listas!$G$53,IF(W303=[9]Listas!$F$55,[9]Listas!$G$55,""))</f>
        <v/>
      </c>
      <c r="Z303" s="301"/>
      <c r="AA303" s="143" t="str">
        <f>+IF(Z303=[9]Listas!$E$46,[9]Listas!$F$46,IF(Z303=[9]Listas!$E$47,[9]Listas!$F$47,""))</f>
        <v/>
      </c>
      <c r="AB303" s="144" t="str">
        <f>IFERROR(X303+AA303,"")</f>
        <v/>
      </c>
      <c r="AC303" s="301"/>
      <c r="AD303" s="301"/>
      <c r="AE303" s="371"/>
      <c r="AF303" s="305" t="str">
        <f t="shared" si="37"/>
        <v>Baja</v>
      </c>
      <c r="AG303" s="145">
        <f>IF(Y303=[9]Listas!$G$53,AG302-(AG302*AB303),AG302)</f>
        <v>0.36</v>
      </c>
      <c r="AH303" s="562"/>
      <c r="AI303" s="305" t="str">
        <f t="shared" ref="AI303:AI311" si="44">IF(AJ303="","",IF(AJ303&lt;=20%,"Leve",IF(AJ303&lt;=40%,"Menor",IF(AJ303&lt;=60%,"Moderado",IF(AJ303&lt;=80%,"Mayor","Catastrófico")))))</f>
        <v>Leve</v>
      </c>
      <c r="AJ303" s="145">
        <f>IF(Y303=[9]Listas!$G$55,AJ302-(AJ302*AB303),AJ302)</f>
        <v>0.2</v>
      </c>
      <c r="AK303" s="562"/>
      <c r="AL303" s="565"/>
      <c r="AM303" s="565"/>
      <c r="AN303" s="565"/>
      <c r="AO303" s="853"/>
      <c r="AP303" s="631"/>
      <c r="AQ303" s="306"/>
      <c r="AR303" s="117"/>
    </row>
    <row r="304" spans="2:44" ht="16" hidden="1" customHeight="1" thickTop="1" x14ac:dyDescent="0.35">
      <c r="B304" s="870"/>
      <c r="C304" s="560"/>
      <c r="D304" s="745" t="s">
        <v>486</v>
      </c>
      <c r="E304" s="769"/>
      <c r="F304" s="856"/>
      <c r="G304" s="821"/>
      <c r="H304" s="821"/>
      <c r="I304" s="727"/>
      <c r="J304" s="727"/>
      <c r="K304" s="824"/>
      <c r="L304" s="727"/>
      <c r="M304" s="724"/>
      <c r="N304" s="598"/>
      <c r="O304" s="730"/>
      <c r="P304" s="724"/>
      <c r="Q304" s="604"/>
      <c r="R304" s="730"/>
      <c r="S304" s="283"/>
      <c r="T304" s="607"/>
      <c r="U304" s="225" t="s">
        <v>180</v>
      </c>
      <c r="V304" s="419"/>
      <c r="W304" s="301"/>
      <c r="X304" s="302" t="str">
        <f>IF(W304=[9]Listas!$B$46,[9]Listas!$C$46,IF(W304=[9]Listas!$B$47,[9]Listas!$C$47,IF(W304=[9]Listas!$B$48,[9]Listas!$C$48,"")))</f>
        <v/>
      </c>
      <c r="Y304" s="303" t="str">
        <f>IF(OR(W304=[9]Listas!$F$53,W304=[9]Listas!$F$54),[9]Listas!$G$53,IF(W304=[9]Listas!$F$55,[9]Listas!$G$55,""))</f>
        <v/>
      </c>
      <c r="Z304" s="301"/>
      <c r="AA304" s="143" t="str">
        <f>+IF(Z304=[9]Listas!$E$46,[9]Listas!$F$46,IF(Z304=[9]Listas!$E$47,[9]Listas!$F$47,""))</f>
        <v/>
      </c>
      <c r="AB304" s="144" t="str">
        <f>IFERROR(X304+AA304,"")</f>
        <v/>
      </c>
      <c r="AC304" s="301"/>
      <c r="AD304" s="301"/>
      <c r="AE304" s="372"/>
      <c r="AF304" s="305" t="str">
        <f t="shared" si="37"/>
        <v>Baja</v>
      </c>
      <c r="AG304" s="145">
        <f>IF(Y304=[9]Listas!$G$53,AG303-(AG303*AB304),AG303)</f>
        <v>0.36</v>
      </c>
      <c r="AH304" s="562"/>
      <c r="AI304" s="305" t="str">
        <f t="shared" si="44"/>
        <v>Leve</v>
      </c>
      <c r="AJ304" s="145">
        <f>IF(Y304=[9]Listas!$G$55,AJ303-(AJ303*AB304),AJ303)</f>
        <v>0.2</v>
      </c>
      <c r="AK304" s="562"/>
      <c r="AL304" s="565"/>
      <c r="AM304" s="565"/>
      <c r="AN304" s="565"/>
      <c r="AO304" s="853"/>
      <c r="AP304" s="631"/>
      <c r="AQ304" s="306"/>
      <c r="AR304" s="117"/>
    </row>
    <row r="305" spans="2:44" ht="15.65" hidden="1" customHeight="1" thickTop="1" x14ac:dyDescent="0.35">
      <c r="B305" s="870"/>
      <c r="C305" s="560"/>
      <c r="D305" s="745" t="s">
        <v>486</v>
      </c>
      <c r="E305" s="769"/>
      <c r="F305" s="856"/>
      <c r="G305" s="821"/>
      <c r="H305" s="821"/>
      <c r="I305" s="727"/>
      <c r="J305" s="727"/>
      <c r="K305" s="824"/>
      <c r="L305" s="727"/>
      <c r="M305" s="724"/>
      <c r="N305" s="598"/>
      <c r="O305" s="730"/>
      <c r="P305" s="724"/>
      <c r="Q305" s="604"/>
      <c r="R305" s="730"/>
      <c r="S305" s="283"/>
      <c r="T305" s="607"/>
      <c r="U305" s="225" t="s">
        <v>190</v>
      </c>
      <c r="V305" s="419"/>
      <c r="W305" s="301"/>
      <c r="X305" s="302" t="str">
        <f>IF(W305=[9]Listas!$B$46,[9]Listas!$C$46,IF(W305=[9]Listas!$B$47,[9]Listas!$C$47,IF(W305=[9]Listas!$B$48,[9]Listas!$C$48,"")))</f>
        <v/>
      </c>
      <c r="Y305" s="303" t="str">
        <f>IF(OR(W305=[9]Listas!$F$53,W305=[9]Listas!$F$54),[9]Listas!$G$53,IF(W305=[9]Listas!$F$55,[9]Listas!$G$55,""))</f>
        <v/>
      </c>
      <c r="Z305" s="301"/>
      <c r="AA305" s="143" t="str">
        <f>+IF(Z305=[9]Listas!$E$46,[9]Listas!$F$46,IF(Z305=[9]Listas!$E$47,[9]Listas!$F$47,""))</f>
        <v/>
      </c>
      <c r="AB305" s="144" t="str">
        <f t="shared" ref="AB305:AB311" si="45">IFERROR(X305+AA305,"")</f>
        <v/>
      </c>
      <c r="AC305" s="301"/>
      <c r="AD305" s="301"/>
      <c r="AE305" s="373"/>
      <c r="AF305" s="305" t="str">
        <f t="shared" si="37"/>
        <v>Baja</v>
      </c>
      <c r="AG305" s="145">
        <f>IF(Y305=[9]Listas!$G$53,AG304-(AG304*AB305),AG304)</f>
        <v>0.36</v>
      </c>
      <c r="AH305" s="562"/>
      <c r="AI305" s="305" t="str">
        <f t="shared" si="44"/>
        <v>Leve</v>
      </c>
      <c r="AJ305" s="145">
        <f>IF(Y305=[9]Listas!$G$55,AJ304-(AJ304*AB305),AJ304)</f>
        <v>0.2</v>
      </c>
      <c r="AK305" s="562"/>
      <c r="AL305" s="565"/>
      <c r="AM305" s="565"/>
      <c r="AN305" s="565"/>
      <c r="AO305" s="853"/>
      <c r="AP305" s="631"/>
      <c r="AQ305" s="306"/>
      <c r="AR305" s="117"/>
    </row>
    <row r="306" spans="2:44" ht="14.15" hidden="1" customHeight="1" thickTop="1" x14ac:dyDescent="0.35">
      <c r="B306" s="870"/>
      <c r="C306" s="560"/>
      <c r="D306" s="745" t="s">
        <v>486</v>
      </c>
      <c r="E306" s="769"/>
      <c r="F306" s="856"/>
      <c r="G306" s="821"/>
      <c r="H306" s="821"/>
      <c r="I306" s="727"/>
      <c r="J306" s="727"/>
      <c r="K306" s="824"/>
      <c r="L306" s="727"/>
      <c r="M306" s="724"/>
      <c r="N306" s="598"/>
      <c r="O306" s="730"/>
      <c r="P306" s="724"/>
      <c r="Q306" s="604"/>
      <c r="R306" s="730"/>
      <c r="S306" s="283"/>
      <c r="T306" s="607"/>
      <c r="U306" s="225" t="s">
        <v>198</v>
      </c>
      <c r="V306" s="419"/>
      <c r="W306" s="301"/>
      <c r="X306" s="302" t="str">
        <f>IF(W306=[9]Listas!$B$46,[9]Listas!$C$46,IF(W306=[9]Listas!$B$47,[9]Listas!$C$47,IF(W306=[9]Listas!$B$48,[9]Listas!$C$48,"")))</f>
        <v/>
      </c>
      <c r="Y306" s="303" t="str">
        <f>IF(OR(W306=[9]Listas!$F$53,W306=[9]Listas!$F$54),[9]Listas!$G$53,IF(W306=[9]Listas!$F$55,[9]Listas!$G$55,""))</f>
        <v/>
      </c>
      <c r="Z306" s="301"/>
      <c r="AA306" s="143" t="str">
        <f>+IF(Z306=[9]Listas!$E$46,[9]Listas!$F$46,IF(Z306=[9]Listas!$E$47,[9]Listas!$F$47,""))</f>
        <v/>
      </c>
      <c r="AB306" s="144" t="str">
        <f t="shared" si="45"/>
        <v/>
      </c>
      <c r="AC306" s="301"/>
      <c r="AD306" s="301"/>
      <c r="AE306" s="371"/>
      <c r="AF306" s="305" t="str">
        <f t="shared" si="37"/>
        <v>Baja</v>
      </c>
      <c r="AG306" s="145">
        <f>IF(Y306=[9]Listas!$G$53,AG305-(AG305*AB306),AG305)</f>
        <v>0.36</v>
      </c>
      <c r="AH306" s="562"/>
      <c r="AI306" s="305" t="str">
        <f t="shared" si="44"/>
        <v>Leve</v>
      </c>
      <c r="AJ306" s="145">
        <f>IF(Y306=[9]Listas!$G$55,AJ305-(AJ305*AB306),AJ305)</f>
        <v>0.2</v>
      </c>
      <c r="AK306" s="562"/>
      <c r="AL306" s="565"/>
      <c r="AM306" s="565"/>
      <c r="AN306" s="565"/>
      <c r="AO306" s="853"/>
      <c r="AP306" s="631"/>
      <c r="AQ306" s="306"/>
      <c r="AR306" s="117"/>
    </row>
    <row r="307" spans="2:44" ht="14.5" hidden="1" customHeight="1" thickTop="1" x14ac:dyDescent="0.35">
      <c r="B307" s="870"/>
      <c r="C307" s="560"/>
      <c r="D307" s="745" t="s">
        <v>486</v>
      </c>
      <c r="E307" s="769"/>
      <c r="F307" s="856"/>
      <c r="G307" s="821"/>
      <c r="H307" s="821"/>
      <c r="I307" s="727"/>
      <c r="J307" s="727"/>
      <c r="K307" s="824"/>
      <c r="L307" s="727"/>
      <c r="M307" s="724"/>
      <c r="N307" s="598"/>
      <c r="O307" s="730"/>
      <c r="P307" s="724"/>
      <c r="Q307" s="604"/>
      <c r="R307" s="730"/>
      <c r="S307" s="283"/>
      <c r="T307" s="607"/>
      <c r="U307" s="225" t="s">
        <v>208</v>
      </c>
      <c r="V307" s="419"/>
      <c r="W307" s="301"/>
      <c r="X307" s="302" t="str">
        <f>IF(W307=[9]Listas!$B$46,[9]Listas!$C$46,IF(W307=[9]Listas!$B$47,[9]Listas!$C$47,IF(W307=[9]Listas!$B$48,[9]Listas!$C$48,"")))</f>
        <v/>
      </c>
      <c r="Y307" s="303" t="str">
        <f>IF(OR(W307=[9]Listas!$F$53,W307=[9]Listas!$F$54),[9]Listas!$G$53,IF(W307=[9]Listas!$F$55,[9]Listas!$G$55,""))</f>
        <v/>
      </c>
      <c r="Z307" s="301"/>
      <c r="AA307" s="143" t="str">
        <f>+IF(Z307=[9]Listas!$E$46,[9]Listas!$F$46,IF(Z307=[9]Listas!$E$47,[9]Listas!$F$47,""))</f>
        <v/>
      </c>
      <c r="AB307" s="144" t="str">
        <f t="shared" si="45"/>
        <v/>
      </c>
      <c r="AC307" s="301"/>
      <c r="AD307" s="301"/>
      <c r="AE307" s="371"/>
      <c r="AF307" s="305" t="str">
        <f t="shared" si="37"/>
        <v>Baja</v>
      </c>
      <c r="AG307" s="145">
        <f>IF(Y307=[9]Listas!$G$53,AG306-(AG306*AB307),AG306)</f>
        <v>0.36</v>
      </c>
      <c r="AH307" s="562"/>
      <c r="AI307" s="305" t="str">
        <f t="shared" si="44"/>
        <v>Leve</v>
      </c>
      <c r="AJ307" s="145">
        <f>IF(Y307=[9]Listas!$G$55,AJ306-(AJ306*AB307),AJ306)</f>
        <v>0.2</v>
      </c>
      <c r="AK307" s="562"/>
      <c r="AL307" s="565"/>
      <c r="AM307" s="565"/>
      <c r="AN307" s="565"/>
      <c r="AO307" s="853"/>
      <c r="AP307" s="631"/>
      <c r="AQ307" s="306"/>
      <c r="AR307" s="117"/>
    </row>
    <row r="308" spans="2:44" ht="14.15" hidden="1" customHeight="1" thickTop="1" x14ac:dyDescent="0.35">
      <c r="B308" s="870"/>
      <c r="C308" s="560"/>
      <c r="D308" s="745" t="s">
        <v>486</v>
      </c>
      <c r="E308" s="769"/>
      <c r="F308" s="856"/>
      <c r="G308" s="821"/>
      <c r="H308" s="821"/>
      <c r="I308" s="727"/>
      <c r="J308" s="727"/>
      <c r="K308" s="824"/>
      <c r="L308" s="727"/>
      <c r="M308" s="724"/>
      <c r="N308" s="598"/>
      <c r="O308" s="730"/>
      <c r="P308" s="724"/>
      <c r="Q308" s="604"/>
      <c r="R308" s="730"/>
      <c r="S308" s="283"/>
      <c r="T308" s="607"/>
      <c r="U308" s="225" t="s">
        <v>215</v>
      </c>
      <c r="V308" s="419"/>
      <c r="W308" s="301"/>
      <c r="X308" s="302" t="str">
        <f>IF(W308=[9]Listas!$B$46,[9]Listas!$C$46,IF(W308=[9]Listas!$B$47,[9]Listas!$C$47,IF(W308=[9]Listas!$B$48,[9]Listas!$C$48,"")))</f>
        <v/>
      </c>
      <c r="Y308" s="303" t="str">
        <f>IF(OR(W308=[9]Listas!$F$53,W308=[9]Listas!$F$54),[9]Listas!$G$53,IF(W308=[9]Listas!$F$55,[9]Listas!$G$55,""))</f>
        <v/>
      </c>
      <c r="Z308" s="301"/>
      <c r="AA308" s="143" t="str">
        <f>+IF(Z308=[9]Listas!$E$46,[9]Listas!$F$46,IF(Z308=[9]Listas!$E$47,[9]Listas!$F$47,""))</f>
        <v/>
      </c>
      <c r="AB308" s="144" t="str">
        <f t="shared" si="45"/>
        <v/>
      </c>
      <c r="AC308" s="301"/>
      <c r="AD308" s="301"/>
      <c r="AE308" s="371"/>
      <c r="AF308" s="305" t="str">
        <f t="shared" si="37"/>
        <v>Baja</v>
      </c>
      <c r="AG308" s="145">
        <f>IF(Y308=[9]Listas!$G$53,AG307-(AG307*AB308),AG307)</f>
        <v>0.36</v>
      </c>
      <c r="AH308" s="562"/>
      <c r="AI308" s="305" t="str">
        <f t="shared" si="44"/>
        <v>Leve</v>
      </c>
      <c r="AJ308" s="145">
        <f>IF(Y308=[9]Listas!$G$55,AJ307-(AJ307*AB308),AJ307)</f>
        <v>0.2</v>
      </c>
      <c r="AK308" s="562"/>
      <c r="AL308" s="565"/>
      <c r="AM308" s="565"/>
      <c r="AN308" s="565"/>
      <c r="AO308" s="853"/>
      <c r="AP308" s="631"/>
      <c r="AQ308" s="306"/>
      <c r="AR308" s="117"/>
    </row>
    <row r="309" spans="2:44" ht="14.15" hidden="1" customHeight="1" thickTop="1" x14ac:dyDescent="0.35">
      <c r="B309" s="870"/>
      <c r="C309" s="560"/>
      <c r="D309" s="745" t="s">
        <v>486</v>
      </c>
      <c r="E309" s="769"/>
      <c r="F309" s="856"/>
      <c r="G309" s="821"/>
      <c r="H309" s="821"/>
      <c r="I309" s="727"/>
      <c r="J309" s="727"/>
      <c r="K309" s="824"/>
      <c r="L309" s="727"/>
      <c r="M309" s="724"/>
      <c r="N309" s="598"/>
      <c r="O309" s="730"/>
      <c r="P309" s="724"/>
      <c r="Q309" s="604"/>
      <c r="R309" s="730"/>
      <c r="S309" s="283"/>
      <c r="T309" s="607"/>
      <c r="U309" s="225" t="s">
        <v>220</v>
      </c>
      <c r="V309" s="419"/>
      <c r="W309" s="301"/>
      <c r="X309" s="302" t="str">
        <f>IF(W309=[9]Listas!$B$46,[9]Listas!$C$46,IF(W309=[9]Listas!$B$47,[9]Listas!$C$47,IF(W309=[9]Listas!$B$48,[9]Listas!$C$48,"")))</f>
        <v/>
      </c>
      <c r="Y309" s="303" t="str">
        <f>IF(OR(W309=[9]Listas!$F$53,W309=[9]Listas!$F$54),[9]Listas!$G$53,IF(W309=[9]Listas!$F$55,[9]Listas!$G$55,""))</f>
        <v/>
      </c>
      <c r="Z309" s="301"/>
      <c r="AA309" s="143" t="str">
        <f>+IF(Z309=[9]Listas!$E$46,[9]Listas!$F$46,IF(Z309=[9]Listas!$E$47,[9]Listas!$F$47,""))</f>
        <v/>
      </c>
      <c r="AB309" s="144" t="str">
        <f t="shared" si="45"/>
        <v/>
      </c>
      <c r="AC309" s="301"/>
      <c r="AD309" s="301"/>
      <c r="AE309" s="371"/>
      <c r="AF309" s="305" t="str">
        <f t="shared" si="37"/>
        <v>Baja</v>
      </c>
      <c r="AG309" s="145">
        <f>IF(Y309=[9]Listas!$G$53,AG308-(AG308*AB309),AG308)</f>
        <v>0.36</v>
      </c>
      <c r="AH309" s="562"/>
      <c r="AI309" s="305" t="str">
        <f t="shared" si="44"/>
        <v>Leve</v>
      </c>
      <c r="AJ309" s="145">
        <f>IF(Y309=[9]Listas!$G$55,AJ308-(AJ308*AB309),AJ308)</f>
        <v>0.2</v>
      </c>
      <c r="AK309" s="562"/>
      <c r="AL309" s="565"/>
      <c r="AM309" s="565"/>
      <c r="AN309" s="565"/>
      <c r="AO309" s="853"/>
      <c r="AP309" s="631"/>
      <c r="AQ309" s="306"/>
      <c r="AR309" s="117"/>
    </row>
    <row r="310" spans="2:44" ht="14.15" hidden="1" customHeight="1" thickTop="1" x14ac:dyDescent="0.35">
      <c r="B310" s="870"/>
      <c r="C310" s="560"/>
      <c r="D310" s="745" t="s">
        <v>486</v>
      </c>
      <c r="E310" s="769"/>
      <c r="F310" s="856"/>
      <c r="G310" s="821"/>
      <c r="H310" s="821"/>
      <c r="I310" s="727"/>
      <c r="J310" s="727"/>
      <c r="K310" s="824"/>
      <c r="L310" s="727"/>
      <c r="M310" s="724"/>
      <c r="N310" s="598"/>
      <c r="O310" s="730"/>
      <c r="P310" s="724"/>
      <c r="Q310" s="604"/>
      <c r="R310" s="730"/>
      <c r="S310" s="283"/>
      <c r="T310" s="607"/>
      <c r="U310" s="225" t="s">
        <v>223</v>
      </c>
      <c r="V310" s="419"/>
      <c r="W310" s="301"/>
      <c r="X310" s="302" t="str">
        <f>IF(W310=[9]Listas!$B$46,[9]Listas!$C$46,IF(W310=[9]Listas!$B$47,[9]Listas!$C$47,IF(W310=[9]Listas!$B$48,[9]Listas!$C$48,"")))</f>
        <v/>
      </c>
      <c r="Y310" s="303" t="str">
        <f>IF(OR(W310=[9]Listas!$F$53,W310=[9]Listas!$F$54),[9]Listas!$G$53,IF(W310=[9]Listas!$F$55,[9]Listas!$G$55,""))</f>
        <v/>
      </c>
      <c r="Z310" s="301"/>
      <c r="AA310" s="143" t="str">
        <f>+IF(Z310=[9]Listas!$E$46,[9]Listas!$F$46,IF(Z310=[9]Listas!$E$47,[9]Listas!$F$47,""))</f>
        <v/>
      </c>
      <c r="AB310" s="144" t="str">
        <f t="shared" si="45"/>
        <v/>
      </c>
      <c r="AC310" s="301"/>
      <c r="AD310" s="301"/>
      <c r="AE310" s="371"/>
      <c r="AF310" s="305" t="str">
        <f t="shared" si="37"/>
        <v>Baja</v>
      </c>
      <c r="AG310" s="145">
        <f>IF(Y310=[9]Listas!$G$53,AG309-(AG309*AB310),AG309)</f>
        <v>0.36</v>
      </c>
      <c r="AH310" s="562"/>
      <c r="AI310" s="305" t="str">
        <f t="shared" si="44"/>
        <v>Leve</v>
      </c>
      <c r="AJ310" s="145">
        <f>IF(Y310=[9]Listas!$G$55,AJ309-(AJ309*AB310),AJ309)</f>
        <v>0.2</v>
      </c>
      <c r="AK310" s="562"/>
      <c r="AL310" s="565"/>
      <c r="AM310" s="565"/>
      <c r="AN310" s="565"/>
      <c r="AO310" s="853"/>
      <c r="AP310" s="631"/>
      <c r="AQ310" s="306"/>
      <c r="AR310" s="117"/>
    </row>
    <row r="311" spans="2:44" ht="14.5" hidden="1" customHeight="1" thickTop="1" x14ac:dyDescent="0.35">
      <c r="B311" s="870"/>
      <c r="C311" s="560"/>
      <c r="D311" s="746" t="s">
        <v>486</v>
      </c>
      <c r="E311" s="770"/>
      <c r="F311" s="857"/>
      <c r="G311" s="822"/>
      <c r="H311" s="822"/>
      <c r="I311" s="728"/>
      <c r="J311" s="728"/>
      <c r="K311" s="825"/>
      <c r="L311" s="728"/>
      <c r="M311" s="725"/>
      <c r="N311" s="599"/>
      <c r="O311" s="731"/>
      <c r="P311" s="725"/>
      <c r="Q311" s="605"/>
      <c r="R311" s="731"/>
      <c r="S311" s="284"/>
      <c r="T311" s="608"/>
      <c r="U311" s="226" t="s">
        <v>224</v>
      </c>
      <c r="V311" s="420"/>
      <c r="W311" s="307"/>
      <c r="X311" s="308" t="str">
        <f>IF(W311=[9]Listas!$B$46,[9]Listas!$C$46,IF(W311=[9]Listas!$B$47,[9]Listas!$C$47,IF(W311=[9]Listas!$B$48,[9]Listas!$C$48,"")))</f>
        <v/>
      </c>
      <c r="Y311" s="309" t="str">
        <f>IF(OR(W311=[9]Listas!$F$53,W311=[9]Listas!$F$54),[9]Listas!$G$53,IF(W311=[9]Listas!$F$55,[9]Listas!$G$55,""))</f>
        <v/>
      </c>
      <c r="Z311" s="307"/>
      <c r="AA311" s="177" t="str">
        <f>+IF(Z311=[9]Listas!$E$46,[9]Listas!$F$46,IF(Z311=[9]Listas!$E$47,[9]Listas!$F$47,""))</f>
        <v/>
      </c>
      <c r="AB311" s="178" t="str">
        <f t="shared" si="45"/>
        <v/>
      </c>
      <c r="AC311" s="307"/>
      <c r="AD311" s="307"/>
      <c r="AE311" s="374"/>
      <c r="AF311" s="311" t="str">
        <f t="shared" si="37"/>
        <v>Baja</v>
      </c>
      <c r="AG311" s="179">
        <f>IF(Y311=[9]Listas!$G$53,AG310-(AG310*AB311),AG310)</f>
        <v>0.36</v>
      </c>
      <c r="AH311" s="563"/>
      <c r="AI311" s="311" t="str">
        <f t="shared" si="44"/>
        <v>Leve</v>
      </c>
      <c r="AJ311" s="179">
        <f>IF(Y311=[9]Listas!$G$55,AJ310-(AJ310*AB311),AJ310)</f>
        <v>0.2</v>
      </c>
      <c r="AK311" s="563"/>
      <c r="AL311" s="566"/>
      <c r="AM311" s="566"/>
      <c r="AN311" s="566"/>
      <c r="AO311" s="854"/>
      <c r="AP311" s="632"/>
      <c r="AQ311" s="312"/>
      <c r="AR311" s="180"/>
    </row>
    <row r="312" spans="2:44" ht="123" customHeight="1" thickTop="1" thickBot="1" x14ac:dyDescent="0.4">
      <c r="B312" s="870"/>
      <c r="C312" s="560"/>
      <c r="D312" s="744" t="s">
        <v>487</v>
      </c>
      <c r="E312" s="858" t="s">
        <v>3</v>
      </c>
      <c r="F312" s="624" t="s">
        <v>488</v>
      </c>
      <c r="G312" s="627" t="s">
        <v>489</v>
      </c>
      <c r="H312" s="627" t="s">
        <v>490</v>
      </c>
      <c r="I312" s="588" t="s">
        <v>28</v>
      </c>
      <c r="J312" s="588" t="s">
        <v>29</v>
      </c>
      <c r="K312" s="591" t="s">
        <v>491</v>
      </c>
      <c r="L312" s="588" t="s">
        <v>185</v>
      </c>
      <c r="M312" s="594" t="s">
        <v>169</v>
      </c>
      <c r="N312" s="597" t="str">
        <f>+IF(M312="","",IF(M312=$BO$15,$BN$15,IF(M312=$BO$16,$BN$16,IF(M312=$BO$17,$BN$17,IF(M312=$BO$18,$BN$18,IF(M312=$BO$19,$BN$19))))))</f>
        <v>Alta</v>
      </c>
      <c r="O312" s="600">
        <f>+IF(M312="","",IF(M312=$BO$15,$BR$15,IF(M312=$BO$16,$BR$16,IF(M312=$BO$17,$BR$17,IF(M312=$BO$18,$BR$18,IF(M312=$BO$19,$BR$19))))))</f>
        <v>0.8</v>
      </c>
      <c r="P312" s="594" t="s">
        <v>204</v>
      </c>
      <c r="Q312" s="603" t="str">
        <f>+IF(P312="","",IF(P312='[9]Mapa de Calor inherente'!$AF$6,'[9]Mapa de Calor inherente'!$AD$6,IF(P312='[9]Mapa de Calor inherente'!$AF$7,'[9]Mapa de Calor inherente'!$AD$7,IF(P312='[9]Mapa de Calor inherente'!$AF$8,'[9]Mapa de Calor inherente'!$AD$8,IF(P312='[9]Mapa de Calor inherente'!$AF$9,'[9]Mapa de Calor inherente'!$AD$9,IF(P312='[9]Mapa de Calor inherente'!$AF$10,'[9]Mapa de Calor inherente'!$AD$10,IF(P312='[9]Mapa de Calor inherente'!$AG$6,'[9]Mapa de Calor inherente'!$AD$6,IF(P312='[9]Mapa de Calor inherente'!$AG$7,'[9]Mapa de Calor inherente'!$AD$7,IF(P312='[9]Mapa de Calor inherente'!$AG$8,'[9]Mapa de Calor inherente'!$AD$8,IF(P312='[9]Mapa de Calor inherente'!$AG$9,'[9]Mapa de Calor inherente'!$AD$9,IF(P312='[9]Mapa de Calor inherente'!$AG$10,'[9]Mapa de Calor inherente'!$AD$10,IF(P312='[9]Mapa de Calor inherente'!$AD$8,'[9]Mapa de Calor inherente'!$AD$8,IF(P312='[9]Mapa de Calor inherente'!$AD$9,'[9]Mapa de Calor inherente'!$AD$9,IF(P312='[9]Mapa de Calor inherente'!$AD$10,'[9]Mapa de Calor inherente'!$AD$10))))))))))))))</f>
        <v>Menor</v>
      </c>
      <c r="R312" s="600">
        <f>+IF(P312="","",IF(P312='[9]Mapa de Calor inherente'!$AF$6,'[9]Mapa de Calor inherente'!$AE$6,IF(P312='[9]Mapa de Calor inherente'!$AF$7,'[9]Mapa de Calor inherente'!$AE$7,IF(P312='[9]Mapa de Calor inherente'!$AF$8,'[9]Mapa de Calor inherente'!$AE$8,IF(P312='[9]Mapa de Calor inherente'!$AF$9,'[9]Mapa de Calor inherente'!$AE$9,IF(P312='[9]Mapa de Calor inherente'!$AF$10,'[9]Mapa de Calor inherente'!$AE$10,IF(P312='[9]Mapa de Calor inherente'!$AG$6,'[9]Mapa de Calor inherente'!$AE$6,IF(P312='[9]Mapa de Calor inherente'!$AG$7,'[9]Mapa de Calor inherente'!$AE$7,IF(P312='[9]Mapa de Calor inherente'!$AG$8,'[9]Mapa de Calor inherente'!$AE$8,IF(P312='[9]Mapa de Calor inherente'!$AG$9,'[9]Mapa de Calor inherente'!$AE$9,IF(P312='[9]Mapa de Calor inherente'!$AG$10,'[9]Mapa de Calor inherente'!$AE$10,IF(P312='[9]Mapa de Calor inherente'!$AD$8,'[9]Mapa de Calor inherente'!$AE$8,IF(P312='[9]Mapa de Calor inherente'!$AD$9,'[9]Mapa de Calor inherente'!$AE$9,IF(P312='[9]Mapa de Calor inherente'!$AD$10,'[9]Mapa de Calor inherente'!$AE$10))))))))))))))</f>
        <v>0.4</v>
      </c>
      <c r="S312" s="292" t="e">
        <f>IF(N312="","",IF(R312="","",(N312*R312)))</f>
        <v>#VALUE!</v>
      </c>
      <c r="T312" s="603" t="str">
        <f>+IF(N312=$BB$17,IF(Q312=$BC$16,$BC$17,IF(Q312=$BD$16,$BD$17,IF(Q312=$BE$16,$BE$17,IF(Q312=$BF$16,$BF$17,IF(Q312=$BG$16,$BG$17))))),IF(N312=$BB$18,IF(Q312=$BC$16,$BC$18,IF(Q312=$BD$16,$BD$18,IF(Q312=$BE$16,$BE$18,IF(Q312=$BF$16,$BF$18,IF(Q312=$BG$16,$BG$18))))),IF(N312=$BB$19,IF(Q312=$BC$16,$BC$19,IF(Q312=$BD$16,$BD$19,IF(Q312=$BE$16,$BE$19,IF(Q312=$BF$16,$BF$19,IF(Q312=$BG$16,$BG$19))))),IF(N312=$BB$20,IF(Q312=$BC$16,$BC$20,IF(Q312=$BD$16,$BD$20,IF(Q312=$BE$16,$BE$20,IF(Q312=$BF$16,$BF$20,IF(Q312=$BG$16,$BG$20))))),IF(N312=$BB$21,IF(Q312=$BC$16,$BC$21,IF(Q312=$BD$16,$BD$21,IF(Q312=$BE$16,$BE$21,IF(Q312=$BF$16,$BF$21,IF(Q312=$BG$16,$BG$21))))),"")))))</f>
        <v>Moderado</v>
      </c>
      <c r="U312" s="139" t="s">
        <v>171</v>
      </c>
      <c r="V312" s="455" t="s">
        <v>492</v>
      </c>
      <c r="W312" s="313" t="s">
        <v>40</v>
      </c>
      <c r="X312" s="314">
        <f>IF(W312=[10]Listas!$B$46,[10]Listas!$C$46,IF(W312=[10]Listas!$B$47,[10]Listas!$C$47,IF(W312=[10]Listas!$B$48,[10]Listas!$C$48,"")))</f>
        <v>0.25</v>
      </c>
      <c r="Y312" s="315" t="str">
        <f>IF(OR(W312=[10]Listas!$F$53,W312=[10]Listas!$F$54),[10]Listas!$G$53,IF(W312=[10]Listas!$F$55,[10]Listas!$G$55,""))</f>
        <v>Probabilidad</v>
      </c>
      <c r="Z312" s="313" t="s">
        <v>43</v>
      </c>
      <c r="AA312" s="314">
        <f>+IF(Z312=[10]Listas!$E$46,[10]Listas!$F$46,IF(Z312=[10]Listas!$E$47,[10]Listas!$F$47,""))</f>
        <v>0.15</v>
      </c>
      <c r="AB312" s="181">
        <f>IFERROR(X312+AA312,"")</f>
        <v>0.4</v>
      </c>
      <c r="AC312" s="375" t="s">
        <v>64</v>
      </c>
      <c r="AD312" s="316" t="s">
        <v>58</v>
      </c>
      <c r="AE312" s="317" t="s">
        <v>59</v>
      </c>
      <c r="AF312" s="299" t="str">
        <f t="shared" si="37"/>
        <v>Media</v>
      </c>
      <c r="AG312" s="141">
        <f>IF(Y312=[9]Listas!$G$53,O312-(O312*AB312),O312)</f>
        <v>0.48</v>
      </c>
      <c r="AH312" s="561">
        <f>+IF(AG321="","",AG321)</f>
        <v>3.7324799999999991E-2</v>
      </c>
      <c r="AI312" s="299" t="str">
        <f>IF(AJ312="","",IF(AJ312&lt;=20%,"Leve",IF(AJ312&lt;=40%,"Menor",IF(AJ312&lt;=60%,"Moderado",IF(AJ312&lt;=80%,"Mayor","Catastrófico")))))</f>
        <v>Menor</v>
      </c>
      <c r="AJ312" s="141">
        <f>IF(Y312=[9]Listas!$G$55,R312-(R312*AB312),R312)</f>
        <v>0.4</v>
      </c>
      <c r="AK312" s="561">
        <f>+IF(AJ321="","",AJ321)</f>
        <v>0.4</v>
      </c>
      <c r="AL312" s="564" t="str">
        <f>+IF(AH312=0,"",IF(AH312&lt;=$BA$21,$BB$21,IF(AH312&lt;=$BA$20,$BB$20,IF(AH312&lt;=$BA$19,$BB$19,IF(AH312&lt;=$BA$18,$BB$18,IF(AH312&lt;=$BA$17,$BB$17,""))))))</f>
        <v>Muy Baja</v>
      </c>
      <c r="AM312" s="564" t="str">
        <f>+IF(AK312=0,"",IF(AK312&lt;=$BC$15,$BC$16,IF(AK312&lt;=$BD$15,$BD$16,IF(AK312&lt;=$BE$15,$BE$16,IF(AK312&lt;=$BF$15,$BF$16,IF(AK312&lt;=$BG$15,$BG$16,""))))))</f>
        <v>Menor</v>
      </c>
      <c r="AN312" s="564" t="str">
        <f>IF(AL312=$BB$17,IF(AM312=$BC$16,$BC$17,IF(AM312=$BD$16,$BD$17,IF(AM312=$BE$16,$BE$17,IF(AM312=$BF$16,$BF$17,IF(AM312=$BG$16,$BG$17))))),IF(AL312=$BB$18,IF(AM312=$BC$16,$BC$18,IF(AM312=$BD$16,$BD$18,IF(AM312=$BE$16,$BE$18,IF(AM312=$BF$16,$BF$18,IF(AM312=$BG$16,$BG$18))))),IF(AL312=$BB$19,IF(AM312=$BC$16,$BC$19,IF(AM312=$BD$16,$BD$19,IF(AM312=$BE$16,$BE$19,IF(AM312=$BF$16,$BF$19,IF(AM312=$BG$16,$BG$19))))),IF(AL312=$BB$20,IF(AM312=$BC$16,$BC$20,IF(AM312=$BD$16,$BD$20,IF(AM312=$BE$16,$BE$20,IF(AM312=$BF$16,$BF$20,IF(AM312=$BG$16,$BG$20))))),IF(AL312=$BB$21,IF(AM312=$BC$16,$BC$21,IF(AM312=$BD$16,$BD$21,IF(AM312=$BE$16,$BE$21,IF(AM312=$BF$16,$BF$21,IF(AM312=$BG$16,$BG$21))))),"")))))</f>
        <v>Bajo</v>
      </c>
      <c r="AO312" s="567" t="str">
        <f>IF(AP312="","",IF(AP312=[9]Listas!$F$61,[9]Listas!$G$61,IF(AP312=[9]Listas!$F$63,[9]Listas!$G$63,IF(AP312=[9]Listas!$F$64,[9]Listas!$G$64))))</f>
        <v>No requiere Plan de Acción</v>
      </c>
      <c r="AP312" s="570" t="str">
        <f>IF(AN312="","",IF(OR(AN312=[9]Listas!$E$61,AN312=[9]Listas!$E$62),[9]Listas!$F$61,IF(AN312=[9]Listas!$E$63,[9]Listas!$F$63,IF(AN312=[9]Listas!$E$64,[9]Listas!$F$64))))</f>
        <v>Aceptar  el riesgo</v>
      </c>
      <c r="AQ312" s="342" t="s">
        <v>80</v>
      </c>
      <c r="AR312" s="227" t="s">
        <v>493</v>
      </c>
    </row>
    <row r="313" spans="2:44" ht="135" customHeight="1" thickTop="1" thickBot="1" x14ac:dyDescent="0.4">
      <c r="B313" s="870"/>
      <c r="C313" s="560"/>
      <c r="D313" s="745" t="s">
        <v>494</v>
      </c>
      <c r="E313" s="859"/>
      <c r="F313" s="625"/>
      <c r="G313" s="628"/>
      <c r="H313" s="628"/>
      <c r="I313" s="589"/>
      <c r="J313" s="589"/>
      <c r="K313" s="592"/>
      <c r="L313" s="589"/>
      <c r="M313" s="595"/>
      <c r="N313" s="598"/>
      <c r="O313" s="601"/>
      <c r="P313" s="595"/>
      <c r="Q313" s="604"/>
      <c r="R313" s="601"/>
      <c r="S313" s="286"/>
      <c r="T313" s="604"/>
      <c r="U313" s="142" t="s">
        <v>174</v>
      </c>
      <c r="V313" s="418" t="s">
        <v>495</v>
      </c>
      <c r="W313" s="319" t="s">
        <v>40</v>
      </c>
      <c r="X313" s="320">
        <f>IF(W313=[10]Listas!$B$46,[10]Listas!$C$46,IF(W313=[10]Listas!$B$47,[10]Listas!$C$47,IF(W313=[10]Listas!$B$48,[10]Listas!$C$48,"")))</f>
        <v>0.25</v>
      </c>
      <c r="Y313" s="321" t="str">
        <f>IF(OR(W313=[10]Listas!$F$53,W313=[10]Listas!$F$54),[10]Listas!$G$53,IF(W313=[10]Listas!$F$55,[10]Listas!$G$55,""))</f>
        <v>Probabilidad</v>
      </c>
      <c r="Z313" s="319" t="s">
        <v>43</v>
      </c>
      <c r="AA313" s="182">
        <f>+IF(Z313=[10]Listas!$E$46,[10]Listas!$F$46,IF(Z313=[10]Listas!$E$47,[10]Listas!$F$47,""))</f>
        <v>0.15</v>
      </c>
      <c r="AB313" s="183">
        <f>IFERROR(X313+AA313,"")</f>
        <v>0.4</v>
      </c>
      <c r="AC313" s="376" t="s">
        <v>64</v>
      </c>
      <c r="AD313" s="322" t="s">
        <v>58</v>
      </c>
      <c r="AE313" s="323" t="s">
        <v>59</v>
      </c>
      <c r="AF313" s="305" t="str">
        <f t="shared" si="37"/>
        <v>Baja</v>
      </c>
      <c r="AG313" s="145">
        <f>IF(Y313=[9]Listas!$G$53,AG312-(AG312*AB313),AG312)</f>
        <v>0.28799999999999998</v>
      </c>
      <c r="AH313" s="562"/>
      <c r="AI313" s="305" t="str">
        <f t="shared" ref="AI313:AI321" si="46">IF(AJ313="","",IF(AJ313&lt;=20%,"Leve",IF(AJ313&lt;=40%,"Menor",IF(AJ313&lt;=60%,"Moderado",IF(AJ313&lt;=80%,"Mayor","Catastrófico")))))</f>
        <v>Menor</v>
      </c>
      <c r="AJ313" s="145">
        <f>IF(Y313=[9]Listas!$G$55,AJ312-(AJ312*AB313),AJ312)</f>
        <v>0.4</v>
      </c>
      <c r="AK313" s="562"/>
      <c r="AL313" s="565"/>
      <c r="AM313" s="565"/>
      <c r="AN313" s="565"/>
      <c r="AO313" s="568"/>
      <c r="AP313" s="571"/>
      <c r="AQ313" s="343" t="s">
        <v>80</v>
      </c>
      <c r="AR313" s="228" t="s">
        <v>496</v>
      </c>
    </row>
    <row r="314" spans="2:44" ht="169.5" customHeight="1" thickTop="1" thickBot="1" x14ac:dyDescent="0.4">
      <c r="B314" s="870"/>
      <c r="C314" s="560"/>
      <c r="D314" s="745" t="s">
        <v>494</v>
      </c>
      <c r="E314" s="859"/>
      <c r="F314" s="625"/>
      <c r="G314" s="628"/>
      <c r="H314" s="628"/>
      <c r="I314" s="589"/>
      <c r="J314" s="589"/>
      <c r="K314" s="592"/>
      <c r="L314" s="589"/>
      <c r="M314" s="595"/>
      <c r="N314" s="598"/>
      <c r="O314" s="601"/>
      <c r="P314" s="595"/>
      <c r="Q314" s="604"/>
      <c r="R314" s="601"/>
      <c r="S314" s="287"/>
      <c r="T314" s="604"/>
      <c r="U314" s="142" t="s">
        <v>180</v>
      </c>
      <c r="V314" s="418" t="s">
        <v>497</v>
      </c>
      <c r="W314" s="331" t="s">
        <v>40</v>
      </c>
      <c r="X314" s="320">
        <f>IF(W314=[10]Listas!$B$46,[10]Listas!$C$46,IF(W314=[10]Listas!$B$47,[10]Listas!$C$47,IF(W314=[10]Listas!$B$48,[10]Listas!$C$48,"")))</f>
        <v>0.25</v>
      </c>
      <c r="Y314" s="321" t="str">
        <f>IF(OR(W314=[10]Listas!$F$53,W314=[10]Listas!$F$54),[10]Listas!$G$53,IF(W314=[10]Listas!$F$55,[10]Listas!$G$55,""))</f>
        <v>Probabilidad</v>
      </c>
      <c r="Z314" s="319" t="s">
        <v>43</v>
      </c>
      <c r="AA314" s="182">
        <f>+IF(Z314=[10]Listas!$E$46,[10]Listas!$F$46,IF(Z314=[10]Listas!$E$47,[10]Listas!$F$47,""))</f>
        <v>0.15</v>
      </c>
      <c r="AB314" s="183">
        <f>IFERROR(X314+AA314,"")</f>
        <v>0.4</v>
      </c>
      <c r="AC314" s="376" t="s">
        <v>64</v>
      </c>
      <c r="AD314" s="322" t="s">
        <v>58</v>
      </c>
      <c r="AE314" s="323" t="s">
        <v>59</v>
      </c>
      <c r="AF314" s="305" t="str">
        <f t="shared" si="37"/>
        <v>Muy baja</v>
      </c>
      <c r="AG314" s="145">
        <f>IF(Y314=[9]Listas!$G$53,AG313-(AG313*AB314),AG313)</f>
        <v>0.17279999999999998</v>
      </c>
      <c r="AH314" s="562"/>
      <c r="AI314" s="305" t="str">
        <f t="shared" si="46"/>
        <v>Menor</v>
      </c>
      <c r="AJ314" s="145">
        <f>IF(Y314=[9]Listas!$G$55,AJ313-(AJ313*AB314),AJ313)</f>
        <v>0.4</v>
      </c>
      <c r="AK314" s="562"/>
      <c r="AL314" s="565"/>
      <c r="AM314" s="565"/>
      <c r="AN314" s="565"/>
      <c r="AO314" s="568"/>
      <c r="AP314" s="571"/>
      <c r="AQ314" s="343" t="s">
        <v>80</v>
      </c>
      <c r="AR314" s="228" t="s">
        <v>498</v>
      </c>
    </row>
    <row r="315" spans="2:44" ht="160.5" customHeight="1" thickTop="1" thickBot="1" x14ac:dyDescent="0.4">
      <c r="B315" s="870"/>
      <c r="C315" s="560"/>
      <c r="D315" s="745" t="s">
        <v>494</v>
      </c>
      <c r="E315" s="859"/>
      <c r="F315" s="625"/>
      <c r="G315" s="628"/>
      <c r="H315" s="628"/>
      <c r="I315" s="589"/>
      <c r="J315" s="589"/>
      <c r="K315" s="592"/>
      <c r="L315" s="589"/>
      <c r="M315" s="595"/>
      <c r="N315" s="598"/>
      <c r="O315" s="601"/>
      <c r="P315" s="595"/>
      <c r="Q315" s="604"/>
      <c r="R315" s="601"/>
      <c r="S315" s="287"/>
      <c r="T315" s="604"/>
      <c r="U315" s="142" t="s">
        <v>190</v>
      </c>
      <c r="V315" s="418" t="s">
        <v>499</v>
      </c>
      <c r="W315" s="319" t="s">
        <v>40</v>
      </c>
      <c r="X315" s="320">
        <f>IF(W315=[10]Listas!$B$46,[10]Listas!$C$46,IF(W315=[10]Listas!$B$47,[10]Listas!$C$47,IF(W315=[10]Listas!$B$48,[10]Listas!$C$48,"")))</f>
        <v>0.25</v>
      </c>
      <c r="Y315" s="321" t="str">
        <f>IF(OR(W315=[10]Listas!$F$53,W315=[10]Listas!$F$54),[10]Listas!$G$53,IF(W315=[10]Listas!$F$55,[10]Listas!$G$55,""))</f>
        <v>Probabilidad</v>
      </c>
      <c r="Z315" s="319" t="s">
        <v>43</v>
      </c>
      <c r="AA315" s="182">
        <f>+IF(Z315=[10]Listas!$E$46,[10]Listas!$F$46,IF(Z315=[10]Listas!$E$47,[10]Listas!$F$47,""))</f>
        <v>0.15</v>
      </c>
      <c r="AB315" s="183">
        <f t="shared" ref="AB315:AB317" si="47">IFERROR(X315+AA315,"")</f>
        <v>0.4</v>
      </c>
      <c r="AC315" s="376" t="s">
        <v>64</v>
      </c>
      <c r="AD315" s="322" t="s">
        <v>58</v>
      </c>
      <c r="AE315" s="323" t="s">
        <v>59</v>
      </c>
      <c r="AF315" s="305" t="str">
        <f t="shared" si="37"/>
        <v>Muy baja</v>
      </c>
      <c r="AG315" s="145">
        <f>IF(Y315=[9]Listas!$G$53,AG314-(AG314*AB315),AG314)</f>
        <v>0.10367999999999998</v>
      </c>
      <c r="AH315" s="562"/>
      <c r="AI315" s="305" t="str">
        <f t="shared" si="46"/>
        <v>Menor</v>
      </c>
      <c r="AJ315" s="145">
        <f>IF(Y315=[9]Listas!$G$55,AJ314-(AJ314*AB315),AJ314)</f>
        <v>0.4</v>
      </c>
      <c r="AK315" s="562"/>
      <c r="AL315" s="565"/>
      <c r="AM315" s="565"/>
      <c r="AN315" s="565"/>
      <c r="AO315" s="568"/>
      <c r="AP315" s="571"/>
      <c r="AQ315" s="344"/>
      <c r="AR315" s="191"/>
    </row>
    <row r="316" spans="2:44" ht="155.25" customHeight="1" thickTop="1" thickBot="1" x14ac:dyDescent="0.4">
      <c r="B316" s="870"/>
      <c r="C316" s="560"/>
      <c r="D316" s="745" t="s">
        <v>494</v>
      </c>
      <c r="E316" s="859"/>
      <c r="F316" s="625"/>
      <c r="G316" s="628"/>
      <c r="H316" s="628"/>
      <c r="I316" s="589"/>
      <c r="J316" s="589"/>
      <c r="K316" s="592"/>
      <c r="L316" s="589"/>
      <c r="M316" s="595"/>
      <c r="N316" s="598"/>
      <c r="O316" s="601"/>
      <c r="P316" s="595"/>
      <c r="Q316" s="604"/>
      <c r="R316" s="601"/>
      <c r="S316" s="287"/>
      <c r="T316" s="604"/>
      <c r="U316" s="142" t="s">
        <v>198</v>
      </c>
      <c r="V316" s="418" t="s">
        <v>500</v>
      </c>
      <c r="W316" s="319" t="s">
        <v>40</v>
      </c>
      <c r="X316" s="320">
        <f>IF(W316=[10]Listas!$B$46,[10]Listas!$C$46,IF(W316=[10]Listas!$B$47,[10]Listas!$C$47,IF(W316=[10]Listas!$B$48,[10]Listas!$C$48,"")))</f>
        <v>0.25</v>
      </c>
      <c r="Y316" s="321" t="str">
        <f>IF(OR(W316=[10]Listas!$F$53,W316=[10]Listas!$F$54),[10]Listas!$G$53,IF(W316=[10]Listas!$F$55,[10]Listas!$G$55,""))</f>
        <v>Probabilidad</v>
      </c>
      <c r="Z316" s="331" t="s">
        <v>43</v>
      </c>
      <c r="AA316" s="182">
        <f>+IF(Z316=[10]Listas!$E$46,[10]Listas!$F$46,IF(Z316=[10]Listas!$E$47,[10]Listas!$F$47,""))</f>
        <v>0.15</v>
      </c>
      <c r="AB316" s="183">
        <f t="shared" si="47"/>
        <v>0.4</v>
      </c>
      <c r="AC316" s="376" t="s">
        <v>64</v>
      </c>
      <c r="AD316" s="322" t="s">
        <v>58</v>
      </c>
      <c r="AE316" s="323" t="s">
        <v>59</v>
      </c>
      <c r="AF316" s="305" t="str">
        <f t="shared" si="37"/>
        <v>Muy baja</v>
      </c>
      <c r="AG316" s="145">
        <f>IF(Y316=[9]Listas!$G$53,AG315-(AG315*AB316),AG315)</f>
        <v>6.2207999999999986E-2</v>
      </c>
      <c r="AH316" s="562"/>
      <c r="AI316" s="305" t="str">
        <f t="shared" si="46"/>
        <v>Menor</v>
      </c>
      <c r="AJ316" s="145">
        <f>IF(Y316=[9]Listas!$G$55,AJ315-(AJ315*AB316),AJ315)</f>
        <v>0.4</v>
      </c>
      <c r="AK316" s="562"/>
      <c r="AL316" s="565"/>
      <c r="AM316" s="565"/>
      <c r="AN316" s="565"/>
      <c r="AO316" s="568"/>
      <c r="AP316" s="571"/>
      <c r="AQ316" s="345"/>
      <c r="AR316" s="191"/>
    </row>
    <row r="317" spans="2:44" ht="176.25" customHeight="1" thickTop="1" thickBot="1" x14ac:dyDescent="0.4">
      <c r="B317" s="870"/>
      <c r="C317" s="560"/>
      <c r="D317" s="745" t="s">
        <v>494</v>
      </c>
      <c r="E317" s="859"/>
      <c r="F317" s="625"/>
      <c r="G317" s="628"/>
      <c r="H317" s="628"/>
      <c r="I317" s="589"/>
      <c r="J317" s="589"/>
      <c r="K317" s="592"/>
      <c r="L317" s="589"/>
      <c r="M317" s="595"/>
      <c r="N317" s="598"/>
      <c r="O317" s="601"/>
      <c r="P317" s="595"/>
      <c r="Q317" s="604"/>
      <c r="R317" s="601"/>
      <c r="S317" s="288"/>
      <c r="T317" s="604"/>
      <c r="U317" s="142" t="s">
        <v>208</v>
      </c>
      <c r="V317" s="418" t="s">
        <v>501</v>
      </c>
      <c r="W317" s="319" t="s">
        <v>40</v>
      </c>
      <c r="X317" s="320">
        <f>IF(W317=[10]Listas!$B$46,[10]Listas!$C$46,IF(W317=[10]Listas!$B$47,[10]Listas!$C$47,IF(W317=[10]Listas!$B$48,[10]Listas!$C$48,"")))</f>
        <v>0.25</v>
      </c>
      <c r="Y317" s="321" t="str">
        <f>IF(OR(W317=[10]Listas!$F$53,W317=[10]Listas!$F$54),[10]Listas!$G$53,IF(W317=[10]Listas!$F$55,[10]Listas!$G$55,""))</f>
        <v>Probabilidad</v>
      </c>
      <c r="Z317" s="331" t="s">
        <v>43</v>
      </c>
      <c r="AA317" s="182">
        <f>+IF(Z317=[10]Listas!$E$46,[10]Listas!$F$46,IF(Z317=[10]Listas!$E$47,[10]Listas!$F$47,""))</f>
        <v>0.15</v>
      </c>
      <c r="AB317" s="183">
        <f t="shared" si="47"/>
        <v>0.4</v>
      </c>
      <c r="AC317" s="376" t="s">
        <v>64</v>
      </c>
      <c r="AD317" s="322" t="s">
        <v>58</v>
      </c>
      <c r="AE317" s="323" t="s">
        <v>59</v>
      </c>
      <c r="AF317" s="305" t="str">
        <f t="shared" si="37"/>
        <v>Muy baja</v>
      </c>
      <c r="AG317" s="145">
        <f>IF(Y317=[9]Listas!$G$53,AG316-(AG316*AB317),AG316)</f>
        <v>3.7324799999999991E-2</v>
      </c>
      <c r="AH317" s="562"/>
      <c r="AI317" s="305" t="str">
        <f t="shared" si="46"/>
        <v>Menor</v>
      </c>
      <c r="AJ317" s="145">
        <f>IF(Y317=[9]Listas!$G$55,AJ316-(AJ316*AB317),AJ316)</f>
        <v>0.4</v>
      </c>
      <c r="AK317" s="562"/>
      <c r="AL317" s="565"/>
      <c r="AM317" s="565"/>
      <c r="AN317" s="565"/>
      <c r="AO317" s="568"/>
      <c r="AP317" s="571"/>
      <c r="AQ317" s="343"/>
      <c r="AR317" s="191"/>
    </row>
    <row r="318" spans="2:44" ht="19" hidden="1" customHeight="1" thickBot="1" x14ac:dyDescent="0.4">
      <c r="B318" s="281"/>
      <c r="C318" s="280"/>
      <c r="D318" s="610" t="s">
        <v>494</v>
      </c>
      <c r="E318" s="859"/>
      <c r="F318" s="625"/>
      <c r="G318" s="628"/>
      <c r="H318" s="628"/>
      <c r="I318" s="589"/>
      <c r="J318" s="589"/>
      <c r="K318" s="592"/>
      <c r="L318" s="589"/>
      <c r="M318" s="595"/>
      <c r="N318" s="598"/>
      <c r="O318" s="601"/>
      <c r="P318" s="595"/>
      <c r="Q318" s="604"/>
      <c r="R318" s="601"/>
      <c r="S318" s="289"/>
      <c r="T318" s="604"/>
      <c r="U318" s="142" t="s">
        <v>215</v>
      </c>
      <c r="V318" s="418"/>
      <c r="W318" s="331"/>
      <c r="X318" s="320" t="str">
        <f>IF(W318=[9]Listas!$B$46,[9]Listas!$C$46,IF(W318=[9]Listas!$B$47,[9]Listas!$C$47,IF(W318=[9]Listas!$B$48,[9]Listas!$C$48,"")))</f>
        <v/>
      </c>
      <c r="Y318" s="321" t="str">
        <f>IF(OR(W318=[9]Listas!$F$53,W318=[9]Listas!$F$54),[9]Listas!$G$53,IF(W318=[9]Listas!$F$55,[9]Listas!$G$55,""))</f>
        <v/>
      </c>
      <c r="Z318" s="331"/>
      <c r="AA318" s="182" t="str">
        <f>+IF(Z318=[9]Listas!$E$46,[9]Listas!$F$46,IF(Z318=[9]Listas!$E$47,[9]Listas!$F$47,""))</f>
        <v/>
      </c>
      <c r="AB318" s="183" t="str">
        <f t="shared" ref="AB318:AB321" si="48">IFERROR(X318+AA318,"")</f>
        <v/>
      </c>
      <c r="AC318" s="319"/>
      <c r="AD318" s="322"/>
      <c r="AE318" s="323"/>
      <c r="AF318" s="305" t="str">
        <f t="shared" si="37"/>
        <v>Muy baja</v>
      </c>
      <c r="AG318" s="145">
        <f>IF(Y318=[9]Listas!$G$53,AG317-(AG317*AB318),AG317)</f>
        <v>3.7324799999999991E-2</v>
      </c>
      <c r="AH318" s="562"/>
      <c r="AI318" s="305" t="str">
        <f t="shared" si="46"/>
        <v>Menor</v>
      </c>
      <c r="AJ318" s="145">
        <f>IF(Y318=[9]Listas!$G$55,AJ317-(AJ317*AB318),AJ317)</f>
        <v>0.4</v>
      </c>
      <c r="AK318" s="562"/>
      <c r="AL318" s="565"/>
      <c r="AM318" s="565"/>
      <c r="AN318" s="565"/>
      <c r="AO318" s="568"/>
      <c r="AP318" s="571"/>
      <c r="AQ318" s="343"/>
      <c r="AR318" s="191"/>
    </row>
    <row r="319" spans="2:44" ht="14.15" hidden="1" customHeight="1" thickBot="1" x14ac:dyDescent="0.4">
      <c r="B319" s="281"/>
      <c r="C319" s="280"/>
      <c r="D319" s="610" t="s">
        <v>494</v>
      </c>
      <c r="E319" s="859"/>
      <c r="F319" s="625"/>
      <c r="G319" s="628"/>
      <c r="H319" s="628"/>
      <c r="I319" s="589"/>
      <c r="J319" s="589"/>
      <c r="K319" s="592"/>
      <c r="L319" s="589"/>
      <c r="M319" s="595"/>
      <c r="N319" s="598"/>
      <c r="O319" s="601"/>
      <c r="P319" s="595"/>
      <c r="Q319" s="604"/>
      <c r="R319" s="601"/>
      <c r="S319" s="289"/>
      <c r="T319" s="604"/>
      <c r="U319" s="142" t="s">
        <v>220</v>
      </c>
      <c r="V319" s="418"/>
      <c r="W319" s="331"/>
      <c r="X319" s="320" t="str">
        <f>IF(W319=[9]Listas!$B$46,[9]Listas!$C$46,IF(W319=[9]Listas!$B$47,[9]Listas!$C$47,IF(W319=[9]Listas!$B$48,[9]Listas!$C$48,"")))</f>
        <v/>
      </c>
      <c r="Y319" s="321" t="str">
        <f>IF(OR(W319=[9]Listas!$F$53,W319=[9]Listas!$F$54),[9]Listas!$G$53,IF(W319=[9]Listas!$F$55,[9]Listas!$G$55,""))</f>
        <v/>
      </c>
      <c r="Z319" s="331"/>
      <c r="AA319" s="182" t="str">
        <f>+IF(Z319=[9]Listas!$E$46,[9]Listas!$F$46,IF(Z319=[9]Listas!$E$47,[9]Listas!$F$47,""))</f>
        <v/>
      </c>
      <c r="AB319" s="183" t="str">
        <f t="shared" si="48"/>
        <v/>
      </c>
      <c r="AC319" s="319"/>
      <c r="AD319" s="322"/>
      <c r="AE319" s="323"/>
      <c r="AF319" s="305" t="str">
        <f t="shared" si="37"/>
        <v>Muy baja</v>
      </c>
      <c r="AG319" s="145">
        <f>IF(Y319=[9]Listas!$G$53,AG318-(AG318*AB319),AG318)</f>
        <v>3.7324799999999991E-2</v>
      </c>
      <c r="AH319" s="562"/>
      <c r="AI319" s="305" t="str">
        <f t="shared" si="46"/>
        <v>Menor</v>
      </c>
      <c r="AJ319" s="145">
        <f>IF(Y319=[9]Listas!$G$55,AJ318-(AJ318*AB319),AJ318)</f>
        <v>0.4</v>
      </c>
      <c r="AK319" s="562"/>
      <c r="AL319" s="565"/>
      <c r="AM319" s="565"/>
      <c r="AN319" s="565"/>
      <c r="AO319" s="568"/>
      <c r="AP319" s="571"/>
      <c r="AQ319" s="343"/>
      <c r="AR319" s="191"/>
    </row>
    <row r="320" spans="2:44" ht="14.15" hidden="1" customHeight="1" thickTop="1" thickBot="1" x14ac:dyDescent="0.4">
      <c r="B320" s="281"/>
      <c r="C320" s="280"/>
      <c r="D320" s="610" t="s">
        <v>494</v>
      </c>
      <c r="E320" s="859"/>
      <c r="F320" s="625"/>
      <c r="G320" s="628"/>
      <c r="H320" s="628"/>
      <c r="I320" s="589"/>
      <c r="J320" s="589"/>
      <c r="K320" s="592"/>
      <c r="L320" s="589"/>
      <c r="M320" s="595"/>
      <c r="N320" s="598"/>
      <c r="O320" s="601"/>
      <c r="P320" s="595"/>
      <c r="Q320" s="604"/>
      <c r="R320" s="601"/>
      <c r="S320" s="289"/>
      <c r="T320" s="604"/>
      <c r="U320" s="142" t="s">
        <v>223</v>
      </c>
      <c r="V320" s="418"/>
      <c r="W320" s="331"/>
      <c r="X320" s="320" t="str">
        <f>IF(W320=[9]Listas!$B$46,[9]Listas!$C$46,IF(W320=[9]Listas!$B$47,[9]Listas!$C$47,IF(W320=[9]Listas!$B$48,[9]Listas!$C$48,"")))</f>
        <v/>
      </c>
      <c r="Y320" s="321" t="str">
        <f>IF(OR(W320=[9]Listas!$F$53,W320=[9]Listas!$F$54),[9]Listas!$G$53,IF(W320=[9]Listas!$F$55,[9]Listas!$G$55,""))</f>
        <v/>
      </c>
      <c r="Z320" s="331"/>
      <c r="AA320" s="182" t="str">
        <f>+IF(Z320=[9]Listas!$E$46,[9]Listas!$F$46,IF(Z320=[9]Listas!$E$47,[9]Listas!$F$47,""))</f>
        <v/>
      </c>
      <c r="AB320" s="183" t="str">
        <f t="shared" si="48"/>
        <v/>
      </c>
      <c r="AC320" s="319"/>
      <c r="AD320" s="322"/>
      <c r="AE320" s="323"/>
      <c r="AF320" s="305" t="str">
        <f t="shared" si="37"/>
        <v>Muy baja</v>
      </c>
      <c r="AG320" s="145">
        <f>IF(Y320=[9]Listas!$G$53,AG319-(AG319*AB320),AG319)</f>
        <v>3.7324799999999991E-2</v>
      </c>
      <c r="AH320" s="562"/>
      <c r="AI320" s="305" t="str">
        <f t="shared" si="46"/>
        <v>Menor</v>
      </c>
      <c r="AJ320" s="145">
        <f>IF(Y320=[9]Listas!$G$55,AJ319-(AJ319*AB320),AJ319)</f>
        <v>0.4</v>
      </c>
      <c r="AK320" s="562"/>
      <c r="AL320" s="565"/>
      <c r="AM320" s="565"/>
      <c r="AN320" s="565"/>
      <c r="AO320" s="568"/>
      <c r="AP320" s="571"/>
      <c r="AQ320" s="343"/>
      <c r="AR320" s="191"/>
    </row>
    <row r="321" spans="2:70" ht="14.5" hidden="1" customHeight="1" thickTop="1" thickBot="1" x14ac:dyDescent="0.4">
      <c r="B321" s="281"/>
      <c r="C321" s="280"/>
      <c r="D321" s="611" t="s">
        <v>494</v>
      </c>
      <c r="E321" s="860"/>
      <c r="F321" s="626"/>
      <c r="G321" s="629"/>
      <c r="H321" s="629"/>
      <c r="I321" s="590"/>
      <c r="J321" s="590"/>
      <c r="K321" s="593"/>
      <c r="L321" s="590"/>
      <c r="M321" s="596"/>
      <c r="N321" s="599"/>
      <c r="O321" s="602"/>
      <c r="P321" s="596"/>
      <c r="Q321" s="605"/>
      <c r="R321" s="602"/>
      <c r="S321" s="293"/>
      <c r="T321" s="605"/>
      <c r="U321" s="202" t="s">
        <v>224</v>
      </c>
      <c r="V321" s="416"/>
      <c r="W321" s="335"/>
      <c r="X321" s="336" t="str">
        <f>IF(W321=[9]Listas!$B$46,[9]Listas!$C$46,IF(W321=[9]Listas!$B$47,[9]Listas!$C$47,IF(W321=[9]Listas!$B$48,[9]Listas!$C$48,"")))</f>
        <v/>
      </c>
      <c r="Y321" s="337" t="str">
        <f>IF(OR(W321=[9]Listas!$F$53,W321=[9]Listas!$F$54),[9]Listas!$G$53,IF(W321=[9]Listas!$F$55,[9]Listas!$G$55,""))</f>
        <v/>
      </c>
      <c r="Z321" s="335"/>
      <c r="AA321" s="186" t="str">
        <f>+IF(Z321=[9]Listas!$E$46,[9]Listas!$F$46,IF(Z321=[9]Listas!$E$47,[9]Listas!$F$47,""))</f>
        <v/>
      </c>
      <c r="AB321" s="187" t="str">
        <f t="shared" si="48"/>
        <v/>
      </c>
      <c r="AC321" s="338"/>
      <c r="AD321" s="339"/>
      <c r="AE321" s="340"/>
      <c r="AF321" s="311" t="str">
        <f t="shared" si="37"/>
        <v>Muy baja</v>
      </c>
      <c r="AG321" s="179">
        <f>IF(Y321=[9]Listas!$G$53,AG320-(AG320*AB321),AG320)</f>
        <v>3.7324799999999991E-2</v>
      </c>
      <c r="AH321" s="563"/>
      <c r="AI321" s="311" t="str">
        <f t="shared" si="46"/>
        <v>Menor</v>
      </c>
      <c r="AJ321" s="179">
        <f>IF(Y321=[9]Listas!$G$55,AJ320-(AJ320*AB321),AJ320)</f>
        <v>0.4</v>
      </c>
      <c r="AK321" s="563"/>
      <c r="AL321" s="566"/>
      <c r="AM321" s="566"/>
      <c r="AN321" s="566"/>
      <c r="AO321" s="569"/>
      <c r="AP321" s="572"/>
      <c r="AQ321" s="359"/>
      <c r="AR321" s="192"/>
    </row>
    <row r="322" spans="2:70" ht="209.25" customHeight="1" thickTop="1" thickBot="1" x14ac:dyDescent="0.4">
      <c r="B322" s="537" t="s">
        <v>502</v>
      </c>
      <c r="C322" s="559" t="s">
        <v>99</v>
      </c>
      <c r="D322" s="573" t="s">
        <v>503</v>
      </c>
      <c r="E322" s="576" t="s">
        <v>4</v>
      </c>
      <c r="F322" s="861" t="s">
        <v>504</v>
      </c>
      <c r="G322" s="786" t="s">
        <v>505</v>
      </c>
      <c r="H322" s="788" t="s">
        <v>506</v>
      </c>
      <c r="I322" s="588" t="s">
        <v>20</v>
      </c>
      <c r="J322" s="588" t="s">
        <v>22</v>
      </c>
      <c r="K322" s="591" t="s">
        <v>507</v>
      </c>
      <c r="L322" s="588" t="s">
        <v>186</v>
      </c>
      <c r="M322" s="594" t="s">
        <v>214</v>
      </c>
      <c r="N322" s="597" t="str">
        <f>+IF(M322="","",IF(M322=$BO$15,$BN$15,IF(M322=$BO$16,$BN$16,IF(M322=$BO$17,$BN$17,IF(M322=$BO$18,$BN$18,IF(M322=$BO$19,$BN$19))))))</f>
        <v>Media</v>
      </c>
      <c r="O322" s="600">
        <f>+IF(M322="","",IF(M322=$BO$15,$BR$15,IF(M322=$BO$16,$BR$16,IF(M322=$BO$17,$BR$17,IF(M322=$BO$18,$BR$18,IF(M322=$BO$19,$BR$19))))))</f>
        <v>0.6</v>
      </c>
      <c r="P322" s="594" t="s">
        <v>212</v>
      </c>
      <c r="Q322" s="603" t="str">
        <f>+IF(P322="","",IF(P322='[9]Mapa de Calor inherente'!$AF$6,'[9]Mapa de Calor inherente'!$AD$6,IF(P322='[9]Mapa de Calor inherente'!$AF$7,'[9]Mapa de Calor inherente'!$AD$7,IF(P322='[9]Mapa de Calor inherente'!$AF$8,'[9]Mapa de Calor inherente'!$AD$8,IF(P322='[9]Mapa de Calor inherente'!$AF$9,'[9]Mapa de Calor inherente'!$AD$9,IF(P322='[9]Mapa de Calor inherente'!$AF$10,'[9]Mapa de Calor inherente'!$AD$10,IF(P322='[9]Mapa de Calor inherente'!$AG$6,'[9]Mapa de Calor inherente'!$AD$6,IF(P322='[9]Mapa de Calor inherente'!$AG$7,'[9]Mapa de Calor inherente'!$AD$7,IF(P322='[9]Mapa de Calor inherente'!$AG$8,'[9]Mapa de Calor inherente'!$AD$8,IF(P322='[9]Mapa de Calor inherente'!$AG$9,'[9]Mapa de Calor inherente'!$AD$9,IF(P322='[9]Mapa de Calor inherente'!$AG$10,'[9]Mapa de Calor inherente'!$AD$10,IF(P322='[9]Mapa de Calor inherente'!$AD$8,'[9]Mapa de Calor inherente'!$AD$8,IF(P322='[9]Mapa de Calor inherente'!$AD$9,'[9]Mapa de Calor inherente'!$AD$9,IF(P322='[9]Mapa de Calor inherente'!$AD$10,'[9]Mapa de Calor inherente'!$AD$10))))))))))))))</f>
        <v>Moderado</v>
      </c>
      <c r="R322" s="600">
        <f>+IF(P322="","",IF(P322='[11]Mapa de Calor inherente'!$AF$6,'[11]Mapa de Calor inherente'!$AE$6,IF(P322='[11]Mapa de Calor inherente'!$AF$7,'[11]Mapa de Calor inherente'!$AE$7,IF(P322='[11]Mapa de Calor inherente'!$AF$8,'[11]Mapa de Calor inherente'!$AE$8,IF(P322='[11]Mapa de Calor inherente'!$AF$9,'[11]Mapa de Calor inherente'!$AE$9,IF(P322='[11]Mapa de Calor inherente'!$AF$10,'[11]Mapa de Calor inherente'!$AE$10,IF(P322='[11]Mapa de Calor inherente'!$AG$6,'[11]Mapa de Calor inherente'!$AE$6,IF(P322='[11]Mapa de Calor inherente'!$AG$7,'[11]Mapa de Calor inherente'!$AE$7,IF(P322='[11]Mapa de Calor inherente'!$AG$8,'[11]Mapa de Calor inherente'!$AE$8,IF(P322='[11]Mapa de Calor inherente'!$AG$9,'[11]Mapa de Calor inherente'!$AE$9,IF(P322='[11]Mapa de Calor inherente'!$AG$10,'[11]Mapa de Calor inherente'!$AE$10,IF(P322='[11]Mapa de Calor inherente'!$AD$8,'[11]Mapa de Calor inherente'!$AE$8,IF(P322='[11]Mapa de Calor inherente'!$AD$9,'[11]Mapa de Calor inherente'!$AE$9,IF(P322='[11]Mapa de Calor inherente'!$AD$10,'[11]Mapa de Calor inherente'!$AE$10))))))))))))))</f>
        <v>0.6</v>
      </c>
      <c r="S322" s="282">
        <f>IF(O322="","",IF(R322="","",(O322*R322)))</f>
        <v>0.36</v>
      </c>
      <c r="T322" s="603" t="str">
        <f>+IF(N322=$BB$17,IF(Q322=$BC$16,$BC$17,IF(Q322=$BD$16,$BD$17,IF(Q322=$BE$16,$BE$17,IF(Q322=$BF$16,$BF$17,IF(Q322=$BG$16,$BG$17))))),IF(N322=$BB$18,IF(Q322=$BC$16,$BC$18,IF(Q322=$BD$16,$BD$18,IF(Q322=$BE$16,$BE$18,IF(Q322=$BF$16,$BF$18,IF(Q322=$BG$16,$BG$18))))),IF(N322=$BB$19,IF(Q322=$BC$16,$BC$19,IF(Q322=$BD$16,$BD$19,IF(Q322=$BE$16,$BE$19,IF(Q322=$BF$16,$BF$19,IF(Q322=$BG$16,$BG$19))))),IF(N322=$BB$20,IF(Q322=$BC$16,$BC$20,IF(Q322=$BD$16,$BD$20,IF(Q322=$BE$16,$BE$20,IF(Q322=$BF$16,$BF$20,IF(Q322=$BG$16,$BG$20))))),IF(N322=$BB$21,IF(Q322=$BC$16,$BC$21,IF(Q322=$BD$16,$BD$21,IF(Q322=$BE$16,$BE$21,IF(Q322=$BF$16,$BF$21,IF(Q322=$BG$16,$BG$21))))),"")))))</f>
        <v>Moderado</v>
      </c>
      <c r="U322" s="139" t="s">
        <v>171</v>
      </c>
      <c r="V322" s="456" t="s">
        <v>508</v>
      </c>
      <c r="W322" s="295" t="s">
        <v>40</v>
      </c>
      <c r="X322" s="296">
        <f>IF(W322=[11]Listas!$B$46,[11]Listas!$C$46,IF(W322=[11]Listas!$B$47,[11]Listas!$C$47,IF(W322=[11]Listas!$B$48,[11]Listas!$C$48,"")))</f>
        <v>0.25</v>
      </c>
      <c r="Y322" s="297" t="str">
        <f>IF(OR(W322=[11]Listas!$F$53,W322=[11]Listas!$F$54),[11]Listas!$G$53,IF(W322=[11]Listas!$F$55,[11]Listas!$G$55,""))</f>
        <v>Probabilidad</v>
      </c>
      <c r="Z322" s="295" t="s">
        <v>43</v>
      </c>
      <c r="AA322" s="296">
        <f>+IF(Z322=[11]Listas!$E$46,[11]Listas!$F$46,IF(Z322=[11]Listas!$E$47,[11]Listas!$F$47,""))</f>
        <v>0.15</v>
      </c>
      <c r="AB322" s="140">
        <f>IFERROR(X322+AA322,"")</f>
        <v>0.4</v>
      </c>
      <c r="AC322" s="291" t="s">
        <v>57</v>
      </c>
      <c r="AD322" s="295" t="s">
        <v>58</v>
      </c>
      <c r="AE322" s="298" t="s">
        <v>59</v>
      </c>
      <c r="AF322" s="299" t="str">
        <f t="shared" si="37"/>
        <v>Baja</v>
      </c>
      <c r="AG322" s="141">
        <f>IF(Y322=[11]Listas!$G$53,O322-(O322*AB322),O322)</f>
        <v>0.36</v>
      </c>
      <c r="AH322" s="561">
        <f>+IF(AG331="","",AG331)</f>
        <v>7.7759999999999996E-2</v>
      </c>
      <c r="AI322" s="299" t="str">
        <f>IF(AJ322="","",IF(AJ322&lt;=20%,"Leve",IF(AJ322&lt;=40%,"Menor",IF(AJ322&lt;=60%,"Moderado",IF(AJ322&lt;=80%,"Mayor","Catastrófico")))))</f>
        <v>Moderado</v>
      </c>
      <c r="AJ322" s="141">
        <f>IF(Y322=[11]Listas!$G$55,R322-(R322*AB322),R322)</f>
        <v>0.6</v>
      </c>
      <c r="AK322" s="561">
        <f>+IF(AJ331="","",AJ331)</f>
        <v>0.6</v>
      </c>
      <c r="AL322" s="564" t="str">
        <f>+IF(AH322=0,"",IF(AH322&lt;=$BA$21,$BB$21,IF(AH322&lt;=$BA$20,$BB$20,IF(AH322&lt;=$BA$19,$BB$19,IF(AH322&lt;=$BA$18,$BB$18,IF(AH322&lt;=$BA$17,$BB$17,""))))))</f>
        <v>Muy Baja</v>
      </c>
      <c r="AM322" s="564" t="str">
        <f>+IF(AK322=0,"",IF(AK322&lt;=$BC$15,$BC$16,IF(AK322&lt;=$BD$15,$BD$16,IF(AK322&lt;=$BE$15,$BE$16,IF(AK322&lt;=$BF$15,$BF$16,IF(AK322&lt;=$BG$15,$BG$16,""))))))</f>
        <v>Moderado</v>
      </c>
      <c r="AN322" s="564" t="str">
        <f>IF(AL322=$BB$17,IF(AM322=$BC$16,$BC$17,IF(AM322=$BD$16,$BD$17,IF(AM322=$BE$16,$BE$17,IF(AM322=$BF$16,$BF$17,IF(AM322=$BG$16,$BG$17))))),IF(AL322=$BB$18,IF(AM322=$BC$16,$BC$18,IF(AM322=$BD$16,$BD$18,IF(AM322=$BE$16,$BE$18,IF(AM322=$BF$16,$BF$18,IF(AM322=$BG$16,$BG$18))))),IF(AL322=$BB$19,IF(AM322=$BC$16,$BC$19,IF(AM322=$BD$16,$BD$19,IF(AM322=$BE$16,$BE$19,IF(AM322=$BF$16,$BF$19,IF(AM322=$BG$16,$BG$19))))),IF(AL322=$BB$20,IF(AM322=$BC$16,$BC$20,IF(AM322=$BD$16,$BD$20,IF(AM322=$BE$16,$BE$20,IF(AM322=$BF$16,$BF$20,IF(AM322=$BG$16,$BG$20))))),IF(AL322=$BB$21,IF(AM322=$BC$16,$BC$21,IF(AM322=$BD$16,$BD$21,IF(AM322=$BE$16,$BE$21,IF(AM322=$BF$16,$BF$21,IF(AM322=$BG$16,$BG$21))))),"")))))</f>
        <v>Moderado</v>
      </c>
      <c r="AO322" s="567" t="str">
        <f>IF(AP322="","",IF(AP322=[11]Listas!$F$61,[11]Listas!$G$61,IF(AP322=[11]Listas!$F$63,[11]Listas!$G$63,IF(AP322=[11]Listas!$F$64,[11]Listas!$G$64))))</f>
        <v>Requiere Plan de Acción</v>
      </c>
      <c r="AP322" s="630" t="str">
        <f>IF(AN322="","",IF(OR(AN322=[11]Listas!$E$61,AN322=[11]Listas!$E$62),[11]Listas!$F$61,IF(AN322=[11]Listas!$E$63,[11]Listas!$F$63,IF(AN322=[11]Listas!$E$64,[11]Listas!$F$64))))</f>
        <v>Aceptar o reducir el riesgo</v>
      </c>
      <c r="AQ322" s="300" t="s">
        <v>80</v>
      </c>
      <c r="AR322" s="119" t="s">
        <v>509</v>
      </c>
    </row>
    <row r="323" spans="2:70" ht="139.5" customHeight="1" thickTop="1" thickBot="1" x14ac:dyDescent="0.35">
      <c r="B323" s="537"/>
      <c r="C323" s="559"/>
      <c r="D323" s="574"/>
      <c r="E323" s="577"/>
      <c r="F323" s="678"/>
      <c r="G323" s="686"/>
      <c r="H323" s="689"/>
      <c r="I323" s="589"/>
      <c r="J323" s="589"/>
      <c r="K323" s="592"/>
      <c r="L323" s="589"/>
      <c r="M323" s="595"/>
      <c r="N323" s="598"/>
      <c r="O323" s="601"/>
      <c r="P323" s="595"/>
      <c r="Q323" s="604"/>
      <c r="R323" s="601"/>
      <c r="S323" s="283"/>
      <c r="T323" s="604"/>
      <c r="U323" s="142" t="s">
        <v>174</v>
      </c>
      <c r="V323" s="457" t="s">
        <v>510</v>
      </c>
      <c r="W323" s="301" t="s">
        <v>40</v>
      </c>
      <c r="X323" s="302">
        <f>IF(W323=[11]Listas!$B$46,[11]Listas!$C$46,IF(W323=[11]Listas!$B$47,[11]Listas!$C$47,IF(W323=[11]Listas!$B$48,[11]Listas!$C$48,"")))</f>
        <v>0.25</v>
      </c>
      <c r="Y323" s="303" t="str">
        <f>IF(OR(W323=[11]Listas!$F$53,W323=[11]Listas!$F$54),[11]Listas!$G$53,IF(W323=[11]Listas!$F$55,[11]Listas!$G$55,""))</f>
        <v>Probabilidad</v>
      </c>
      <c r="Z323" s="301" t="s">
        <v>43</v>
      </c>
      <c r="AA323" s="143">
        <f>+IF(Z323=[11]Listas!$E$46,[11]Listas!$F$46,IF(Z323=[11]Listas!$E$47,[11]Listas!$F$47,""))</f>
        <v>0.15</v>
      </c>
      <c r="AB323" s="144">
        <f>IFERROR(X323+AA323,"")</f>
        <v>0.4</v>
      </c>
      <c r="AC323" s="301" t="s">
        <v>57</v>
      </c>
      <c r="AD323" s="301" t="s">
        <v>58</v>
      </c>
      <c r="AE323" s="304" t="s">
        <v>59</v>
      </c>
      <c r="AF323" s="305" t="str">
        <f t="shared" si="37"/>
        <v>Baja</v>
      </c>
      <c r="AG323" s="145">
        <f>IF(Y323=[11]Listas!$G$53,AG322-(AG322*AB323),AG322)</f>
        <v>0.216</v>
      </c>
      <c r="AH323" s="562"/>
      <c r="AI323" s="305" t="str">
        <f t="shared" ref="AI323:AI361" si="49">IF(AJ323="","",IF(AJ323&lt;=20%,"Leve",IF(AJ323&lt;=40%,"Menor",IF(AJ323&lt;=60%,"Moderado",IF(AJ323&lt;=80%,"Mayor","Catastrófico")))))</f>
        <v>Moderado</v>
      </c>
      <c r="AJ323" s="145">
        <f>IF(Y323=[11]Listas!$G$55,AJ322-(AJ322*AB323),AJ322)</f>
        <v>0.6</v>
      </c>
      <c r="AK323" s="562"/>
      <c r="AL323" s="565"/>
      <c r="AM323" s="565"/>
      <c r="AN323" s="565"/>
      <c r="AO323" s="568"/>
      <c r="AP323" s="631"/>
      <c r="AQ323" s="306" t="s">
        <v>80</v>
      </c>
      <c r="AR323" s="199" t="s">
        <v>511</v>
      </c>
      <c r="AZ323" s="633" t="s">
        <v>177</v>
      </c>
      <c r="BA323" s="634"/>
      <c r="BB323" s="634"/>
      <c r="BC323" s="634"/>
      <c r="BD323" s="634"/>
      <c r="BE323" s="634"/>
      <c r="BF323" s="634"/>
      <c r="BG323" s="635"/>
      <c r="BI323" s="636" t="s">
        <v>178</v>
      </c>
      <c r="BJ323" s="637"/>
      <c r="BK323" s="637"/>
      <c r="BL323" s="638"/>
      <c r="BN323" s="639" t="s">
        <v>179</v>
      </c>
      <c r="BO323" s="640"/>
      <c r="BP323" s="641"/>
      <c r="BQ323" s="641"/>
      <c r="BR323" s="642"/>
    </row>
    <row r="324" spans="2:70" ht="96.75" customHeight="1" x14ac:dyDescent="0.3">
      <c r="B324" s="537"/>
      <c r="C324" s="559"/>
      <c r="D324" s="574"/>
      <c r="E324" s="577"/>
      <c r="F324" s="678"/>
      <c r="G324" s="686"/>
      <c r="H324" s="689"/>
      <c r="I324" s="589"/>
      <c r="J324" s="589"/>
      <c r="K324" s="592"/>
      <c r="L324" s="589"/>
      <c r="M324" s="595"/>
      <c r="N324" s="598"/>
      <c r="O324" s="601"/>
      <c r="P324" s="595"/>
      <c r="Q324" s="604"/>
      <c r="R324" s="601"/>
      <c r="S324" s="283"/>
      <c r="T324" s="604"/>
      <c r="U324" s="142" t="s">
        <v>180</v>
      </c>
      <c r="V324" s="458" t="s">
        <v>512</v>
      </c>
      <c r="W324" s="301" t="s">
        <v>40</v>
      </c>
      <c r="X324" s="302">
        <f>IF(W324=[11]Listas!$B$46,[11]Listas!$C$46,IF(W324=[11]Listas!$B$47,[11]Listas!$C$47,IF(W324=[11]Listas!$B$48,[11]Listas!$C$48,"")))</f>
        <v>0.25</v>
      </c>
      <c r="Y324" s="303" t="str">
        <f>IF(OR(W324=[11]Listas!$F$53,W324=[11]Listas!$F$54),[11]Listas!$G$53,IF(W324=[11]Listas!$F$55,[11]Listas!$G$55,""))</f>
        <v>Probabilidad</v>
      </c>
      <c r="Z324" s="301" t="s">
        <v>43</v>
      </c>
      <c r="AA324" s="143">
        <f>+IF(Z324=[11]Listas!$E$46,[11]Listas!$F$46,IF(Z324=[11]Listas!$E$47,[11]Listas!$F$47,""))</f>
        <v>0.15</v>
      </c>
      <c r="AB324" s="144">
        <f>IFERROR(X324+AA324,"")</f>
        <v>0.4</v>
      </c>
      <c r="AC324" s="301" t="s">
        <v>57</v>
      </c>
      <c r="AD324" s="301" t="s">
        <v>58</v>
      </c>
      <c r="AE324" s="304" t="s">
        <v>59</v>
      </c>
      <c r="AF324" s="305" t="str">
        <f t="shared" si="37"/>
        <v>Muy baja</v>
      </c>
      <c r="AG324" s="145">
        <f>IF(Y324=[11]Listas!$G$53,AG323-(AG323*AB324),AG323)</f>
        <v>0.12959999999999999</v>
      </c>
      <c r="AH324" s="562"/>
      <c r="AI324" s="305" t="str">
        <f t="shared" si="49"/>
        <v>Moderado</v>
      </c>
      <c r="AJ324" s="145">
        <f>IF(Y324=[11]Listas!$G$55,AJ323-(AJ323*AB324),AJ323)</f>
        <v>0.6</v>
      </c>
      <c r="AK324" s="562"/>
      <c r="AL324" s="565"/>
      <c r="AM324" s="565"/>
      <c r="AN324" s="565"/>
      <c r="AO324" s="568"/>
      <c r="AP324" s="631"/>
      <c r="AQ324" s="306" t="s">
        <v>76</v>
      </c>
      <c r="AR324" s="229" t="s">
        <v>513</v>
      </c>
      <c r="AZ324" s="146"/>
      <c r="BA324" s="147"/>
      <c r="BB324" s="148"/>
      <c r="BC324" s="643" t="s">
        <v>70</v>
      </c>
      <c r="BD324" s="643"/>
      <c r="BE324" s="643"/>
      <c r="BF324" s="643"/>
      <c r="BG324" s="643"/>
      <c r="BI324" s="149" t="s">
        <v>183</v>
      </c>
      <c r="BJ324" s="150" t="s">
        <v>184</v>
      </c>
      <c r="BK324" s="150" t="s">
        <v>185</v>
      </c>
      <c r="BL324" s="151" t="s">
        <v>186</v>
      </c>
      <c r="BN324" s="149" t="s">
        <v>183</v>
      </c>
      <c r="BO324" s="150" t="s">
        <v>187</v>
      </c>
      <c r="BP324" s="152" t="s">
        <v>188</v>
      </c>
      <c r="BQ324" s="152" t="s">
        <v>189</v>
      </c>
      <c r="BR324" s="151" t="s">
        <v>60</v>
      </c>
    </row>
    <row r="325" spans="2:70" ht="118.5" customHeight="1" thickTop="1" thickBot="1" x14ac:dyDescent="0.4">
      <c r="B325" s="537"/>
      <c r="C325" s="559"/>
      <c r="D325" s="574"/>
      <c r="E325" s="577"/>
      <c r="F325" s="678"/>
      <c r="G325" s="686"/>
      <c r="H325" s="689"/>
      <c r="I325" s="589"/>
      <c r="J325" s="589"/>
      <c r="K325" s="592"/>
      <c r="L325" s="589"/>
      <c r="M325" s="595"/>
      <c r="N325" s="598"/>
      <c r="O325" s="601"/>
      <c r="P325" s="595"/>
      <c r="Q325" s="604"/>
      <c r="R325" s="601"/>
      <c r="S325" s="283"/>
      <c r="T325" s="604"/>
      <c r="U325" s="142" t="s">
        <v>190</v>
      </c>
      <c r="V325" s="459" t="s">
        <v>514</v>
      </c>
      <c r="W325" s="301" t="s">
        <v>40</v>
      </c>
      <c r="X325" s="302">
        <f>IF(W325=[11]Listas!$B$46,[11]Listas!$C$46,IF(W325=[11]Listas!$B$47,[11]Listas!$C$47,IF(W325=[11]Listas!$B$48,[11]Listas!$C$48,"")))</f>
        <v>0.25</v>
      </c>
      <c r="Y325" s="303" t="str">
        <f>IF(OR(W325=[11]Listas!$F$53,W325=[11]Listas!$F$54),[11]Listas!$G$53,IF(W325=[11]Listas!$F$55,[11]Listas!$G$55,""))</f>
        <v>Probabilidad</v>
      </c>
      <c r="Z325" s="301" t="s">
        <v>43</v>
      </c>
      <c r="AA325" s="143">
        <f>+IF(Z325=[11]Listas!$E$46,[11]Listas!$F$46,IF(Z325=[11]Listas!$E$47,[11]Listas!$F$47,""))</f>
        <v>0.15</v>
      </c>
      <c r="AB325" s="144">
        <f t="shared" ref="AB325:AB331" si="50">IFERROR(X325+AA325,"")</f>
        <v>0.4</v>
      </c>
      <c r="AC325" s="301" t="s">
        <v>64</v>
      </c>
      <c r="AD325" s="301" t="s">
        <v>58</v>
      </c>
      <c r="AE325" s="304" t="s">
        <v>59</v>
      </c>
      <c r="AF325" s="305" t="str">
        <f t="shared" si="37"/>
        <v>Muy baja</v>
      </c>
      <c r="AG325" s="145">
        <f>IF(Y325=[11]Listas!$G$53,AG324-(AG324*AB325),AG324)</f>
        <v>7.7759999999999996E-2</v>
      </c>
      <c r="AH325" s="562"/>
      <c r="AI325" s="305" t="str">
        <f t="shared" si="49"/>
        <v>Moderado</v>
      </c>
      <c r="AJ325" s="145">
        <f>IF(Y325=[11]Listas!$G$55,AJ324-(AJ324*AB325),AJ324)</f>
        <v>0.6</v>
      </c>
      <c r="AK325" s="562"/>
      <c r="AL325" s="565"/>
      <c r="AM325" s="565"/>
      <c r="AN325" s="565"/>
      <c r="AO325" s="568"/>
      <c r="AP325" s="631"/>
      <c r="AQ325" s="306"/>
      <c r="AR325" s="230"/>
      <c r="AZ325" s="153"/>
      <c r="BA325" s="154"/>
      <c r="BB325" s="155" t="s">
        <v>192</v>
      </c>
      <c r="BC325" s="156">
        <v>0.2</v>
      </c>
      <c r="BD325" s="156">
        <v>0.4</v>
      </c>
      <c r="BE325" s="156">
        <v>0.6</v>
      </c>
      <c r="BF325" s="156">
        <v>0.8</v>
      </c>
      <c r="BG325" s="156">
        <v>1</v>
      </c>
      <c r="BI325" s="157" t="s">
        <v>193</v>
      </c>
      <c r="BJ325" s="158">
        <v>0.2</v>
      </c>
      <c r="BK325" s="159" t="s">
        <v>194</v>
      </c>
      <c r="BL325" s="160" t="s">
        <v>195</v>
      </c>
      <c r="BN325" s="157" t="s">
        <v>196</v>
      </c>
      <c r="BO325" s="159" t="s">
        <v>197</v>
      </c>
      <c r="BP325" s="161">
        <v>0</v>
      </c>
      <c r="BQ325" s="161">
        <v>2</v>
      </c>
      <c r="BR325" s="162">
        <v>0.2</v>
      </c>
    </row>
    <row r="326" spans="2:70" ht="30.75" hidden="1" customHeight="1" x14ac:dyDescent="0.35">
      <c r="B326" s="537"/>
      <c r="C326" s="559"/>
      <c r="D326" s="574"/>
      <c r="E326" s="577"/>
      <c r="F326" s="678"/>
      <c r="G326" s="686"/>
      <c r="H326" s="689"/>
      <c r="I326" s="589"/>
      <c r="J326" s="589"/>
      <c r="K326" s="592"/>
      <c r="L326" s="589"/>
      <c r="M326" s="595"/>
      <c r="N326" s="598"/>
      <c r="O326" s="601"/>
      <c r="P326" s="595"/>
      <c r="Q326" s="604"/>
      <c r="R326" s="601"/>
      <c r="S326" s="283"/>
      <c r="T326" s="604"/>
      <c r="U326" s="142" t="s">
        <v>198</v>
      </c>
      <c r="V326" s="441"/>
      <c r="W326" s="301"/>
      <c r="X326" s="302" t="str">
        <f>IF(W326=[11]Listas!$B$46,[11]Listas!$C$46,IF(W326=[11]Listas!$B$47,[11]Listas!$C$47,IF(W326=[11]Listas!$B$48,[11]Listas!$C$48,"")))</f>
        <v/>
      </c>
      <c r="Y326" s="303" t="str">
        <f>IF(OR(W326=[11]Listas!$F$53,W326=[11]Listas!$F$54),[11]Listas!$G$53,IF(W326=[11]Listas!$F$55,[11]Listas!$G$55,""))</f>
        <v/>
      </c>
      <c r="Z326" s="301"/>
      <c r="AA326" s="143" t="str">
        <f>+IF(Z326=[11]Listas!$E$46,[11]Listas!$F$46,IF(Z326=[11]Listas!$E$47,[11]Listas!$F$47,""))</f>
        <v/>
      </c>
      <c r="AB326" s="144" t="str">
        <f t="shared" si="50"/>
        <v/>
      </c>
      <c r="AC326" s="301"/>
      <c r="AD326" s="301"/>
      <c r="AE326" s="304"/>
      <c r="AF326" s="305" t="str">
        <f t="shared" si="37"/>
        <v>Muy baja</v>
      </c>
      <c r="AG326" s="145">
        <f>IF(Y326=[11]Listas!$G$53,AG325-(AG325*AB326),AG325)</f>
        <v>7.7759999999999996E-2</v>
      </c>
      <c r="AH326" s="562"/>
      <c r="AI326" s="305" t="str">
        <f t="shared" si="49"/>
        <v>Moderado</v>
      </c>
      <c r="AJ326" s="145">
        <f>IF(Y326=[11]Listas!$G$55,AJ325-(AJ325*AB326),AJ325)</f>
        <v>0.6</v>
      </c>
      <c r="AK326" s="562"/>
      <c r="AL326" s="565"/>
      <c r="AM326" s="565"/>
      <c r="AN326" s="565"/>
      <c r="AO326" s="568"/>
      <c r="AP326" s="631"/>
      <c r="AQ326" s="306"/>
      <c r="AR326" s="117"/>
      <c r="AZ326" s="153"/>
      <c r="BA326" s="154"/>
      <c r="BB326" s="163" t="s">
        <v>200</v>
      </c>
      <c r="BC326" s="164" t="s">
        <v>193</v>
      </c>
      <c r="BD326" s="164" t="s">
        <v>201</v>
      </c>
      <c r="BE326" s="164" t="s">
        <v>83</v>
      </c>
      <c r="BF326" s="164" t="s">
        <v>202</v>
      </c>
      <c r="BG326" s="164" t="s">
        <v>203</v>
      </c>
      <c r="BI326" s="165" t="s">
        <v>201</v>
      </c>
      <c r="BJ326" s="158">
        <v>0.4</v>
      </c>
      <c r="BK326" s="166" t="s">
        <v>204</v>
      </c>
      <c r="BL326" s="167" t="s">
        <v>205</v>
      </c>
      <c r="BN326" s="165" t="s">
        <v>206</v>
      </c>
      <c r="BO326" s="166" t="s">
        <v>207</v>
      </c>
      <c r="BP326" s="161">
        <v>3</v>
      </c>
      <c r="BQ326" s="161">
        <v>24</v>
      </c>
      <c r="BR326" s="162">
        <v>0.4</v>
      </c>
    </row>
    <row r="327" spans="2:70" ht="30.75" hidden="1" customHeight="1" x14ac:dyDescent="0.35">
      <c r="B327" s="537"/>
      <c r="C327" s="559"/>
      <c r="D327" s="574"/>
      <c r="E327" s="577"/>
      <c r="F327" s="678"/>
      <c r="G327" s="686"/>
      <c r="H327" s="689"/>
      <c r="I327" s="589"/>
      <c r="J327" s="589"/>
      <c r="K327" s="592"/>
      <c r="L327" s="589"/>
      <c r="M327" s="595"/>
      <c r="N327" s="598"/>
      <c r="O327" s="601"/>
      <c r="P327" s="595"/>
      <c r="Q327" s="604"/>
      <c r="R327" s="601"/>
      <c r="S327" s="283"/>
      <c r="T327" s="604"/>
      <c r="U327" s="142" t="s">
        <v>208</v>
      </c>
      <c r="V327" s="415"/>
      <c r="W327" s="301"/>
      <c r="X327" s="302" t="str">
        <f>IF(W327=[11]Listas!$B$46,[11]Listas!$C$46,IF(W327=[11]Listas!$B$47,[11]Listas!$C$47,IF(W327=[11]Listas!$B$48,[11]Listas!$C$48,"")))</f>
        <v/>
      </c>
      <c r="Y327" s="303" t="str">
        <f>IF(OR(W327=[11]Listas!$F$53,W327=[11]Listas!$F$54),[11]Listas!$G$53,IF(W327=[11]Listas!$F$55,[11]Listas!$G$55,""))</f>
        <v/>
      </c>
      <c r="Z327" s="301"/>
      <c r="AA327" s="143" t="str">
        <f>+IF(Z327=[11]Listas!$E$46,[11]Listas!$F$46,IF(Z327=[11]Listas!$E$47,[11]Listas!$F$47,""))</f>
        <v/>
      </c>
      <c r="AB327" s="144" t="str">
        <f t="shared" si="50"/>
        <v/>
      </c>
      <c r="AC327" s="301"/>
      <c r="AD327" s="301"/>
      <c r="AE327" s="304"/>
      <c r="AF327" s="305" t="str">
        <f t="shared" si="37"/>
        <v>Muy baja</v>
      </c>
      <c r="AG327" s="145">
        <f>IF(Y327=[11]Listas!$G$53,AG326-(AG326*AB327),AG326)</f>
        <v>7.7759999999999996E-2</v>
      </c>
      <c r="AH327" s="562"/>
      <c r="AI327" s="305" t="str">
        <f t="shared" si="49"/>
        <v>Moderado</v>
      </c>
      <c r="AJ327" s="145">
        <f>IF(Y327=[11]Listas!$G$55,AJ326-(AJ326*AB327),AJ326)</f>
        <v>0.6</v>
      </c>
      <c r="AK327" s="562"/>
      <c r="AL327" s="565"/>
      <c r="AM327" s="565"/>
      <c r="AN327" s="565"/>
      <c r="AO327" s="568"/>
      <c r="AP327" s="631"/>
      <c r="AQ327" s="306"/>
      <c r="AR327" s="117"/>
      <c r="AZ327" s="644" t="s">
        <v>60</v>
      </c>
      <c r="BA327" s="168">
        <v>1</v>
      </c>
      <c r="BB327" s="164" t="s">
        <v>210</v>
      </c>
      <c r="BC327" s="169" t="s">
        <v>81</v>
      </c>
      <c r="BD327" s="169" t="s">
        <v>81</v>
      </c>
      <c r="BE327" s="169" t="s">
        <v>81</v>
      </c>
      <c r="BF327" s="169" t="s">
        <v>81</v>
      </c>
      <c r="BG327" s="170" t="s">
        <v>77</v>
      </c>
      <c r="BI327" s="171" t="s">
        <v>83</v>
      </c>
      <c r="BJ327" s="158">
        <v>0.6</v>
      </c>
      <c r="BK327" s="166" t="s">
        <v>211</v>
      </c>
      <c r="BL327" s="167" t="s">
        <v>212</v>
      </c>
      <c r="BN327" s="171" t="s">
        <v>213</v>
      </c>
      <c r="BO327" s="166" t="s">
        <v>214</v>
      </c>
      <c r="BP327" s="161">
        <v>25</v>
      </c>
      <c r="BQ327" s="161">
        <v>500</v>
      </c>
      <c r="BR327" s="162">
        <v>0.6</v>
      </c>
    </row>
    <row r="328" spans="2:70" ht="30.75" hidden="1" customHeight="1" x14ac:dyDescent="0.35">
      <c r="B328" s="537"/>
      <c r="C328" s="559"/>
      <c r="D328" s="574"/>
      <c r="E328" s="577"/>
      <c r="F328" s="678"/>
      <c r="G328" s="686"/>
      <c r="H328" s="689"/>
      <c r="I328" s="589"/>
      <c r="J328" s="589"/>
      <c r="K328" s="592"/>
      <c r="L328" s="589"/>
      <c r="M328" s="595"/>
      <c r="N328" s="598"/>
      <c r="O328" s="601"/>
      <c r="P328" s="595"/>
      <c r="Q328" s="604"/>
      <c r="R328" s="601"/>
      <c r="S328" s="283"/>
      <c r="T328" s="604"/>
      <c r="U328" s="142" t="s">
        <v>215</v>
      </c>
      <c r="V328" s="418"/>
      <c r="W328" s="301"/>
      <c r="X328" s="302" t="str">
        <f>IF(W328=[11]Listas!$B$46,[11]Listas!$C$46,IF(W328=[11]Listas!$B$47,[11]Listas!$C$47,IF(W328=[11]Listas!$B$48,[11]Listas!$C$48,"")))</f>
        <v/>
      </c>
      <c r="Y328" s="303" t="str">
        <f>IF(OR(W328=[11]Listas!$F$53,W328=[11]Listas!$F$54),[11]Listas!$G$53,IF(W328=[11]Listas!$F$55,[11]Listas!$G$55,""))</f>
        <v/>
      </c>
      <c r="Z328" s="301"/>
      <c r="AA328" s="143" t="str">
        <f>+IF(Z328=[11]Listas!$E$46,[11]Listas!$F$46,IF(Z328=[11]Listas!$E$47,[11]Listas!$F$47,""))</f>
        <v/>
      </c>
      <c r="AB328" s="144" t="str">
        <f t="shared" si="50"/>
        <v/>
      </c>
      <c r="AC328" s="301"/>
      <c r="AD328" s="301"/>
      <c r="AE328" s="304"/>
      <c r="AF328" s="305" t="str">
        <f t="shared" si="37"/>
        <v>Muy baja</v>
      </c>
      <c r="AG328" s="145">
        <f>IF(Y328=[11]Listas!$G$53,AG327-(AG327*AB328),AG327)</f>
        <v>7.7759999999999996E-2</v>
      </c>
      <c r="AH328" s="562"/>
      <c r="AI328" s="305" t="str">
        <f t="shared" si="49"/>
        <v>Moderado</v>
      </c>
      <c r="AJ328" s="145">
        <f>IF(Y328=[11]Listas!$G$55,AJ327-(AJ327*AB328),AJ327)</f>
        <v>0.6</v>
      </c>
      <c r="AK328" s="562"/>
      <c r="AL328" s="565"/>
      <c r="AM328" s="565"/>
      <c r="AN328" s="565"/>
      <c r="AO328" s="568"/>
      <c r="AP328" s="631"/>
      <c r="AQ328" s="306"/>
      <c r="AR328" s="117"/>
      <c r="AZ328" s="644"/>
      <c r="BA328" s="168">
        <v>0.8</v>
      </c>
      <c r="BB328" s="164" t="s">
        <v>217</v>
      </c>
      <c r="BC328" s="172" t="s">
        <v>83</v>
      </c>
      <c r="BD328" s="172" t="s">
        <v>83</v>
      </c>
      <c r="BE328" s="169" t="s">
        <v>81</v>
      </c>
      <c r="BF328" s="169" t="s">
        <v>81</v>
      </c>
      <c r="BG328" s="170" t="s">
        <v>77</v>
      </c>
      <c r="BI328" s="173" t="s">
        <v>202</v>
      </c>
      <c r="BJ328" s="158">
        <v>0.8</v>
      </c>
      <c r="BK328" s="166" t="s">
        <v>218</v>
      </c>
      <c r="BL328" s="167" t="s">
        <v>219</v>
      </c>
      <c r="BN328" s="173" t="s">
        <v>217</v>
      </c>
      <c r="BO328" s="166" t="s">
        <v>169</v>
      </c>
      <c r="BP328" s="161">
        <v>5001</v>
      </c>
      <c r="BQ328" s="161">
        <v>5000</v>
      </c>
      <c r="BR328" s="162">
        <v>0.8</v>
      </c>
    </row>
    <row r="329" spans="2:70" ht="15" hidden="1" customHeight="1" x14ac:dyDescent="0.35">
      <c r="B329" s="537"/>
      <c r="C329" s="559"/>
      <c r="D329" s="574"/>
      <c r="E329" s="577"/>
      <c r="F329" s="678"/>
      <c r="G329" s="686"/>
      <c r="H329" s="689"/>
      <c r="I329" s="589"/>
      <c r="J329" s="589"/>
      <c r="K329" s="592"/>
      <c r="L329" s="589"/>
      <c r="M329" s="595"/>
      <c r="N329" s="598"/>
      <c r="O329" s="601"/>
      <c r="P329" s="595"/>
      <c r="Q329" s="604"/>
      <c r="R329" s="601"/>
      <c r="S329" s="283"/>
      <c r="T329" s="604"/>
      <c r="U329" s="142" t="s">
        <v>220</v>
      </c>
      <c r="V329" s="419"/>
      <c r="W329" s="301"/>
      <c r="X329" s="302" t="str">
        <f>IF(W329=[11]Listas!$B$46,[11]Listas!$C$46,IF(W329=[11]Listas!$B$47,[11]Listas!$C$47,IF(W329=[11]Listas!$B$48,[11]Listas!$C$48,"")))</f>
        <v/>
      </c>
      <c r="Y329" s="303" t="str">
        <f>IF(OR(W329=[11]Listas!$F$53,W329=[11]Listas!$F$54),[11]Listas!$G$53,IF(W329=[11]Listas!$F$55,[11]Listas!$G$55,""))</f>
        <v/>
      </c>
      <c r="Z329" s="301"/>
      <c r="AA329" s="143" t="str">
        <f>+IF(Z329=[11]Listas!$E$46,[11]Listas!$F$46,IF(Z329=[11]Listas!$E$47,[11]Listas!$F$47,""))</f>
        <v/>
      </c>
      <c r="AB329" s="144" t="str">
        <f t="shared" si="50"/>
        <v/>
      </c>
      <c r="AC329" s="301"/>
      <c r="AD329" s="301"/>
      <c r="AE329" s="304"/>
      <c r="AF329" s="305" t="str">
        <f t="shared" si="37"/>
        <v>Muy baja</v>
      </c>
      <c r="AG329" s="145">
        <f>IF(Y329=[11]Listas!$G$53,AG328-(AG328*AB329),AG328)</f>
        <v>7.7759999999999996E-2</v>
      </c>
      <c r="AH329" s="562"/>
      <c r="AI329" s="305" t="str">
        <f t="shared" si="49"/>
        <v>Moderado</v>
      </c>
      <c r="AJ329" s="145">
        <f>IF(Y329=[11]Listas!$G$55,AJ328-(AJ328*AB329),AJ328)</f>
        <v>0.6</v>
      </c>
      <c r="AK329" s="562"/>
      <c r="AL329" s="565"/>
      <c r="AM329" s="565"/>
      <c r="AN329" s="565"/>
      <c r="AO329" s="568"/>
      <c r="AP329" s="631"/>
      <c r="AQ329" s="306"/>
      <c r="AR329" s="117"/>
      <c r="AZ329" s="644"/>
      <c r="BA329" s="168">
        <v>0.6</v>
      </c>
      <c r="BB329" s="164" t="s">
        <v>213</v>
      </c>
      <c r="BC329" s="172" t="s">
        <v>83</v>
      </c>
      <c r="BD329" s="172" t="s">
        <v>83</v>
      </c>
      <c r="BE329" s="172" t="s">
        <v>83</v>
      </c>
      <c r="BF329" s="169" t="s">
        <v>81</v>
      </c>
      <c r="BG329" s="170" t="s">
        <v>77</v>
      </c>
      <c r="BI329" s="175" t="s">
        <v>203</v>
      </c>
      <c r="BJ329" s="158">
        <v>1</v>
      </c>
      <c r="BK329" s="166" t="s">
        <v>221</v>
      </c>
      <c r="BL329" s="167" t="s">
        <v>170</v>
      </c>
      <c r="BN329" s="175" t="s">
        <v>210</v>
      </c>
      <c r="BO329" s="166" t="s">
        <v>222</v>
      </c>
      <c r="BP329" s="161">
        <v>5001</v>
      </c>
      <c r="BQ329" s="161"/>
      <c r="BR329" s="162">
        <v>1</v>
      </c>
    </row>
    <row r="330" spans="2:70" ht="15" hidden="1" customHeight="1" x14ac:dyDescent="0.35">
      <c r="B330" s="537"/>
      <c r="C330" s="559"/>
      <c r="D330" s="574"/>
      <c r="E330" s="577"/>
      <c r="F330" s="678"/>
      <c r="G330" s="686"/>
      <c r="H330" s="689"/>
      <c r="I330" s="589"/>
      <c r="J330" s="589"/>
      <c r="K330" s="592"/>
      <c r="L330" s="589"/>
      <c r="M330" s="595"/>
      <c r="N330" s="598"/>
      <c r="O330" s="601"/>
      <c r="P330" s="595"/>
      <c r="Q330" s="604"/>
      <c r="R330" s="601"/>
      <c r="S330" s="283"/>
      <c r="T330" s="604"/>
      <c r="U330" s="142" t="s">
        <v>223</v>
      </c>
      <c r="V330" s="419"/>
      <c r="W330" s="301"/>
      <c r="X330" s="302" t="str">
        <f>IF(W330=[11]Listas!$B$46,[11]Listas!$C$46,IF(W330=[11]Listas!$B$47,[11]Listas!$C$47,IF(W330=[11]Listas!$B$48,[11]Listas!$C$48,"")))</f>
        <v/>
      </c>
      <c r="Y330" s="303" t="str">
        <f>IF(OR(W330=[11]Listas!$F$53,W330=[11]Listas!$F$54),[11]Listas!$G$53,IF(W330=[11]Listas!$F$55,[11]Listas!$G$55,""))</f>
        <v/>
      </c>
      <c r="Z330" s="301"/>
      <c r="AA330" s="143" t="str">
        <f>+IF(Z330=[11]Listas!$E$46,[11]Listas!$F$46,IF(Z330=[11]Listas!$E$47,[11]Listas!$F$47,""))</f>
        <v/>
      </c>
      <c r="AB330" s="144" t="str">
        <f t="shared" si="50"/>
        <v/>
      </c>
      <c r="AC330" s="301"/>
      <c r="AD330" s="301"/>
      <c r="AE330" s="304"/>
      <c r="AF330" s="305" t="str">
        <f t="shared" si="37"/>
        <v>Muy baja</v>
      </c>
      <c r="AG330" s="145">
        <f>IF(Y330=[11]Listas!$G$53,AG329-(AG329*AB330),AG329)</f>
        <v>7.7759999999999996E-2</v>
      </c>
      <c r="AH330" s="562"/>
      <c r="AI330" s="305" t="str">
        <f t="shared" si="49"/>
        <v>Moderado</v>
      </c>
      <c r="AJ330" s="145">
        <f>IF(Y330=[11]Listas!$G$55,AJ329-(AJ329*AB330),AJ329)</f>
        <v>0.6</v>
      </c>
      <c r="AK330" s="562"/>
      <c r="AL330" s="565"/>
      <c r="AM330" s="565"/>
      <c r="AN330" s="565"/>
      <c r="AO330" s="568"/>
      <c r="AP330" s="631"/>
      <c r="AQ330" s="306"/>
      <c r="AR330" s="117"/>
      <c r="AZ330" s="644"/>
      <c r="BA330" s="168">
        <v>0.4</v>
      </c>
      <c r="BB330" s="164" t="s">
        <v>206</v>
      </c>
      <c r="BC330" s="176" t="s">
        <v>86</v>
      </c>
      <c r="BD330" s="172" t="s">
        <v>83</v>
      </c>
      <c r="BE330" s="172" t="s">
        <v>83</v>
      </c>
      <c r="BF330" s="169" t="s">
        <v>81</v>
      </c>
      <c r="BG330" s="170" t="s">
        <v>77</v>
      </c>
    </row>
    <row r="331" spans="2:70" ht="15.75" hidden="1" customHeight="1" x14ac:dyDescent="0.35">
      <c r="B331" s="537"/>
      <c r="C331" s="559"/>
      <c r="D331" s="575"/>
      <c r="E331" s="578"/>
      <c r="F331" s="862"/>
      <c r="G331" s="863"/>
      <c r="H331" s="864"/>
      <c r="I331" s="590"/>
      <c r="J331" s="590"/>
      <c r="K331" s="593"/>
      <c r="L331" s="589"/>
      <c r="M331" s="595"/>
      <c r="N331" s="599"/>
      <c r="O331" s="602"/>
      <c r="P331" s="596"/>
      <c r="Q331" s="605"/>
      <c r="R331" s="602"/>
      <c r="S331" s="284"/>
      <c r="T331" s="605"/>
      <c r="U331" s="142" t="s">
        <v>224</v>
      </c>
      <c r="V331" s="420"/>
      <c r="W331" s="307"/>
      <c r="X331" s="308" t="str">
        <f>IF(W331=[11]Listas!$B$46,[11]Listas!$C$46,IF(W331=[11]Listas!$B$47,[11]Listas!$C$47,IF(W331=[11]Listas!$B$48,[11]Listas!$C$48,"")))</f>
        <v/>
      </c>
      <c r="Y331" s="309" t="str">
        <f>IF(OR(W331=[11]Listas!$F$53,W331=[11]Listas!$F$54),[11]Listas!$G$53,IF(W331=[11]Listas!$F$55,[11]Listas!$G$55,""))</f>
        <v/>
      </c>
      <c r="Z331" s="307"/>
      <c r="AA331" s="177" t="str">
        <f>+IF(Z331=[11]Listas!$E$46,[11]Listas!$F$46,IF(Z331=[11]Listas!$E$47,[11]Listas!$F$47,""))</f>
        <v/>
      </c>
      <c r="AB331" s="178" t="str">
        <f t="shared" si="50"/>
        <v/>
      </c>
      <c r="AC331" s="307"/>
      <c r="AD331" s="307"/>
      <c r="AE331" s="310"/>
      <c r="AF331" s="311" t="str">
        <f t="shared" si="37"/>
        <v>Muy baja</v>
      </c>
      <c r="AG331" s="179">
        <f>IF(Y331=[11]Listas!$G$53,AG330-(AG330*AB331),AG330)</f>
        <v>7.7759999999999996E-2</v>
      </c>
      <c r="AH331" s="563"/>
      <c r="AI331" s="311" t="str">
        <f t="shared" si="49"/>
        <v>Moderado</v>
      </c>
      <c r="AJ331" s="179">
        <f>IF(Y331=[11]Listas!$G$55,AJ330-(AJ330*AB331),AJ330)</f>
        <v>0.6</v>
      </c>
      <c r="AK331" s="563"/>
      <c r="AL331" s="566"/>
      <c r="AM331" s="566"/>
      <c r="AN331" s="566"/>
      <c r="AO331" s="569"/>
      <c r="AP331" s="632"/>
      <c r="AQ331" s="312"/>
      <c r="AR331" s="180"/>
      <c r="AZ331" s="644"/>
      <c r="BA331" s="168">
        <v>0.2</v>
      </c>
      <c r="BB331" s="164" t="s">
        <v>196</v>
      </c>
      <c r="BC331" s="176" t="s">
        <v>86</v>
      </c>
      <c r="BD331" s="176" t="s">
        <v>86</v>
      </c>
      <c r="BE331" s="172" t="s">
        <v>83</v>
      </c>
      <c r="BF331" s="169" t="s">
        <v>81</v>
      </c>
      <c r="BG331" s="170" t="s">
        <v>77</v>
      </c>
    </row>
    <row r="332" spans="2:70" ht="149.15" customHeight="1" thickTop="1" thickBot="1" x14ac:dyDescent="0.4">
      <c r="B332" s="537"/>
      <c r="C332" s="559"/>
      <c r="D332" s="573" t="s">
        <v>515</v>
      </c>
      <c r="E332" s="576" t="s">
        <v>4</v>
      </c>
      <c r="F332" s="624" t="s">
        <v>516</v>
      </c>
      <c r="G332" s="627" t="s">
        <v>505</v>
      </c>
      <c r="H332" s="627" t="s">
        <v>517</v>
      </c>
      <c r="I332" s="588" t="s">
        <v>20</v>
      </c>
      <c r="J332" s="588" t="s">
        <v>22</v>
      </c>
      <c r="K332" s="591" t="s">
        <v>518</v>
      </c>
      <c r="L332" s="588" t="s">
        <v>186</v>
      </c>
      <c r="M332" s="594" t="s">
        <v>214</v>
      </c>
      <c r="N332" s="597" t="str">
        <f>+IF(M332="","",IF(M332=$BO$15,$BN$15,IF(M332=$BO$16,$BN$16,IF(M332=$BO$17,$BN$17,IF(M332=$BO$18,$BN$18,IF(M332=$BO$19,$BN$19))))))</f>
        <v>Media</v>
      </c>
      <c r="O332" s="600">
        <f>+IF(M332="","",IF(M332=$BO$15,$BR$15,IF(M332=$BO$16,$BR$16,IF(M332=$BO$17,$BR$17,IF(M332=$BO$18,$BR$18,IF(M332=$BO$19,$BR$19))))))</f>
        <v>0.6</v>
      </c>
      <c r="P332" s="594" t="s">
        <v>212</v>
      </c>
      <c r="Q332" s="603" t="str">
        <f>+IF(P332="","",IF(P332='[9]Mapa de Calor inherente'!$AF$6,'[9]Mapa de Calor inherente'!$AD$6,IF(P332='[9]Mapa de Calor inherente'!$AF$7,'[9]Mapa de Calor inherente'!$AD$7,IF(P332='[9]Mapa de Calor inherente'!$AF$8,'[9]Mapa de Calor inherente'!$AD$8,IF(P332='[9]Mapa de Calor inherente'!$AF$9,'[9]Mapa de Calor inherente'!$AD$9,IF(P332='[9]Mapa de Calor inherente'!$AF$10,'[9]Mapa de Calor inherente'!$AD$10,IF(P332='[9]Mapa de Calor inherente'!$AG$6,'[9]Mapa de Calor inherente'!$AD$6,IF(P332='[9]Mapa de Calor inherente'!$AG$7,'[9]Mapa de Calor inherente'!$AD$7,IF(P332='[9]Mapa de Calor inherente'!$AG$8,'[9]Mapa de Calor inherente'!$AD$8,IF(P332='[9]Mapa de Calor inherente'!$AG$9,'[9]Mapa de Calor inherente'!$AD$9,IF(P332='[9]Mapa de Calor inherente'!$AG$10,'[9]Mapa de Calor inherente'!$AD$10,IF(P332='[9]Mapa de Calor inherente'!$AD$8,'[9]Mapa de Calor inherente'!$AD$8,IF(P332='[9]Mapa de Calor inherente'!$AD$9,'[9]Mapa de Calor inherente'!$AD$9,IF(P332='[9]Mapa de Calor inherente'!$AD$10,'[9]Mapa de Calor inherente'!$AD$10))))))))))))))</f>
        <v>Moderado</v>
      </c>
      <c r="R332" s="600">
        <f>+IF(P332="","",IF(P332='[11]Mapa de Calor inherente'!$AF$6,'[11]Mapa de Calor inherente'!$AE$6,IF(P332='[11]Mapa de Calor inherente'!$AF$7,'[11]Mapa de Calor inherente'!$AE$7,IF(P332='[11]Mapa de Calor inherente'!$AF$8,'[11]Mapa de Calor inherente'!$AE$8,IF(P332='[11]Mapa de Calor inherente'!$AF$9,'[11]Mapa de Calor inherente'!$AE$9,IF(P332='[11]Mapa de Calor inherente'!$AF$10,'[11]Mapa de Calor inherente'!$AE$10,IF(P332='[11]Mapa de Calor inherente'!$AG$6,'[11]Mapa de Calor inherente'!$AE$6,IF(P332='[11]Mapa de Calor inherente'!$AG$7,'[11]Mapa de Calor inherente'!$AE$7,IF(P332='[11]Mapa de Calor inherente'!$AG$8,'[11]Mapa de Calor inherente'!$AE$8,IF(P332='[11]Mapa de Calor inherente'!$AG$9,'[11]Mapa de Calor inherente'!$AE$9,IF(P332='[11]Mapa de Calor inherente'!$AG$10,'[11]Mapa de Calor inherente'!$AE$10,IF(P332='[11]Mapa de Calor inherente'!$AD$8,'[11]Mapa de Calor inherente'!$AE$8,IF(P332='[11]Mapa de Calor inherente'!$AD$9,'[11]Mapa de Calor inherente'!$AE$9,IF(P332='[11]Mapa de Calor inherente'!$AD$10,'[11]Mapa de Calor inherente'!$AE$10))))))))))))))</f>
        <v>0.6</v>
      </c>
      <c r="S332" s="292"/>
      <c r="T332" s="606" t="str">
        <f>+IF(N332=$BB$17,IF(Q332=$BC$16,$BC$17,IF(Q332=$BD$16,$BD$17,IF(Q332=$BE$16,$BE$17,IF(Q332=$BF$16,$BF$17,IF(Q332=$BG$16,$BG$17))))),IF(N332=$BB$18,IF(Q332=$BC$16,$BC$18,IF(Q332=$BD$16,$BD$18,IF(Q332=$BE$16,$BE$18,IF(Q332=$BF$16,$BF$18,IF(Q332=$BG$16,$BG$18))))),IF(N332=$BB$19,IF(Q332=$BC$16,$BC$19,IF(Q332=$BD$16,$BD$19,IF(Q332=$BE$16,$BE$19,IF(Q332=$BF$16,$BF$19,IF(Q332=$BG$16,$BG$19))))),IF(N332=$BB$20,IF(Q332=$BC$16,$BC$20,IF(Q332=$BD$16,$BD$20,IF(Q332=$BE$16,$BE$20,IF(Q332=$BF$16,$BF$20,IF(Q332=$BG$16,$BG$20))))),IF(N332=$BB$21,IF(Q332=$BC$16,$BC$21,IF(Q332=$BD$16,$BD$21,IF(Q332=$BE$16,$BE$21,IF(Q332=$BF$16,$BF$21,IF(Q332=$BG$16,$BG$21))))),"")))))</f>
        <v>Moderado</v>
      </c>
      <c r="U332" s="139" t="s">
        <v>171</v>
      </c>
      <c r="V332" s="460" t="s">
        <v>519</v>
      </c>
      <c r="W332" s="313" t="s">
        <v>40</v>
      </c>
      <c r="X332" s="314">
        <f>IF(W332=[11]Listas!$B$46,[11]Listas!$C$46,IF(W332=[11]Listas!$B$47,[11]Listas!$C$47,IF(W332=[11]Listas!$B$48,[11]Listas!$C$48,"")))</f>
        <v>0.25</v>
      </c>
      <c r="Y332" s="315" t="str">
        <f>IF(OR(W332=[11]Listas!$F$53,W332=[11]Listas!$F$54),[11]Listas!$G$53,IF(W332=[11]Listas!$F$55,[11]Listas!$G$55,""))</f>
        <v>Probabilidad</v>
      </c>
      <c r="Z332" s="313" t="s">
        <v>43</v>
      </c>
      <c r="AA332" s="314">
        <f>+IF(Z332=[11]Listas!$E$46,[11]Listas!$F$46,IF(Z332=[11]Listas!$E$47,[11]Listas!$F$47,""))</f>
        <v>0.15</v>
      </c>
      <c r="AB332" s="181">
        <f>IFERROR(X332+AA332,"")</f>
        <v>0.4</v>
      </c>
      <c r="AC332" s="313" t="s">
        <v>57</v>
      </c>
      <c r="AD332" s="316" t="s">
        <v>58</v>
      </c>
      <c r="AE332" s="317" t="s">
        <v>59</v>
      </c>
      <c r="AF332" s="299" t="str">
        <f t="shared" ref="AF332:AF395" si="51">IF(AG332="","",IF(AG332&lt;=20%,"Muy baja",IF(AG332&lt;=40%,"Baja",IF(AG332&lt;=60%,"Media",IF(AG332&lt;=80%,"Alta","Muy alta")))))</f>
        <v>Baja</v>
      </c>
      <c r="AG332" s="141">
        <f>IF(Y332=[11]Listas!$G$53,O332-(O332*AB332),O332)</f>
        <v>0.36</v>
      </c>
      <c r="AH332" s="561">
        <f>+IF(AG341="","",AG341)</f>
        <v>0.36</v>
      </c>
      <c r="AI332" s="299" t="str">
        <f>IF(AJ332="","",IF(AJ332&lt;=20%,"Leve",IF(AJ332&lt;=40%,"Menor",IF(AJ332&lt;=60%,"Moderado",IF(AJ332&lt;=80%,"Mayor","Catastrófico")))))</f>
        <v>Moderado</v>
      </c>
      <c r="AJ332" s="141">
        <f>IF(Y332=[11]Listas!$G$55,R332-(R332*AB332),R332)</f>
        <v>0.6</v>
      </c>
      <c r="AK332" s="561">
        <f>+IF(AJ341="","",AJ341)</f>
        <v>0.6</v>
      </c>
      <c r="AL332" s="564" t="str">
        <f>+IF(AH332=0,"",IF(AH332&lt;=$BA$21,$BB$21,IF(AH332&lt;=$BA$20,$BB$20,IF(AH332&lt;=$BA$19,$BB$19,IF(AH332&lt;=$BA$18,$BB$18,IF(AH332&lt;=$BA$17,$BB$17,""))))))</f>
        <v>Baja</v>
      </c>
      <c r="AM332" s="564" t="str">
        <f>+IF(AK332=0,"",IF(AK332&lt;=$BC$15,$BC$16,IF(AK332&lt;=$BD$15,$BD$16,IF(AK332&lt;=$BE$15,$BE$16,IF(AK332&lt;=$BF$15,$BF$16,IF(AK332&lt;=$BG$15,$BG$16,""))))))</f>
        <v>Moderado</v>
      </c>
      <c r="AN332" s="564" t="str">
        <f>IF(AL332=$BB$17,IF(AM332=$BC$16,$BC$17,IF(AM332=$BD$16,$BD$17,IF(AM332=$BE$16,$BE$17,IF(AM332=$BF$16,$BF$17,IF(AM332=$BG$16,$BG$17))))),IF(AL332=$BB$18,IF(AM332=$BC$16,$BC$18,IF(AM332=$BD$16,$BD$18,IF(AM332=$BE$16,$BE$18,IF(AM332=$BF$16,$BF$18,IF(AM332=$BG$16,$BG$18))))),IF(AL332=$BB$19,IF(AM332=$BC$16,$BC$19,IF(AM332=$BD$16,$BD$19,IF(AM332=$BE$16,$BE$19,IF(AM332=$BF$16,$BF$19,IF(AM332=$BG$16,$BG$19))))),IF(AL332=$BB$20,IF(AM332=$BC$16,$BC$20,IF(AM332=$BD$16,$BD$20,IF(AM332=$BE$16,$BE$20,IF(AM332=$BF$16,$BF$20,IF(AM332=$BG$16,$BG$20))))),IF(AL332=$BB$21,IF(AM332=$BC$16,$BC$21,IF(AM332=$BD$16,$BD$21,IF(AM332=$BE$16,$BE$21,IF(AM332=$BF$16,$BF$21,IF(AM332=$BG$16,$BG$21))))),"")))))</f>
        <v>Moderado</v>
      </c>
      <c r="AO332" s="567" t="str">
        <f>IF(AP332="","",IF(AP332=[11]Listas!$F$61,[11]Listas!$G$61,IF(AP332=[11]Listas!$F$63,[11]Listas!$G$63,IF(AP332=[11]Listas!$F$64,[11]Listas!$G$64))))</f>
        <v>Requiere Plan de Acción</v>
      </c>
      <c r="AP332" s="570" t="str">
        <f>IF(AN332="","",IF(OR(AN332=[11]Listas!$E$61,AN332=[11]Listas!$E$62),[11]Listas!$F$61,IF(AN332=[11]Listas!$E$63,[11]Listas!$F$63,IF(AN332=[11]Listas!$E$64,[11]Listas!$F$64))))</f>
        <v>Aceptar o reducir el riesgo</v>
      </c>
      <c r="AQ332" s="318" t="s">
        <v>80</v>
      </c>
      <c r="AR332" s="231" t="s">
        <v>520</v>
      </c>
    </row>
    <row r="333" spans="2:70" ht="116.5" customHeight="1" thickTop="1" thickBot="1" x14ac:dyDescent="0.4">
      <c r="B333" s="537"/>
      <c r="C333" s="559"/>
      <c r="D333" s="574"/>
      <c r="E333" s="577"/>
      <c r="F333" s="625"/>
      <c r="G333" s="628"/>
      <c r="H333" s="628"/>
      <c r="I333" s="589"/>
      <c r="J333" s="589"/>
      <c r="K333" s="592"/>
      <c r="L333" s="589"/>
      <c r="M333" s="595"/>
      <c r="N333" s="598"/>
      <c r="O333" s="601"/>
      <c r="P333" s="595"/>
      <c r="Q333" s="604"/>
      <c r="R333" s="601"/>
      <c r="S333" s="286"/>
      <c r="T333" s="607"/>
      <c r="U333" s="142" t="s">
        <v>174</v>
      </c>
      <c r="V333" s="415"/>
      <c r="W333" s="319"/>
      <c r="X333" s="320" t="str">
        <f>IF(W333=[11]Listas!$B$46,[11]Listas!$C$46,IF(W333=[11]Listas!$B$47,[11]Listas!$C$47,IF(W333=[11]Listas!$B$48,[11]Listas!$C$48,"")))</f>
        <v/>
      </c>
      <c r="Y333" s="321" t="str">
        <f>IF(OR(W333=[11]Listas!$F$53,W333=[11]Listas!$F$54),[11]Listas!$G$53,IF(W333=[11]Listas!$F$55,[11]Listas!$G$55,""))</f>
        <v/>
      </c>
      <c r="Z333" s="319"/>
      <c r="AA333" s="182" t="str">
        <f>+IF(Z333=[11]Listas!$E$46,[11]Listas!$F$46,IF(Z333=[11]Listas!$E$47,[11]Listas!$F$47,""))</f>
        <v/>
      </c>
      <c r="AB333" s="183" t="str">
        <f>IFERROR(X333+AA333,"")</f>
        <v/>
      </c>
      <c r="AC333" s="319"/>
      <c r="AD333" s="322"/>
      <c r="AE333" s="323"/>
      <c r="AF333" s="305" t="str">
        <f t="shared" si="51"/>
        <v>Baja</v>
      </c>
      <c r="AG333" s="145">
        <f>IF(Y333=[11]Listas!$G$53,AG332-(AG332*AB333),AG332)</f>
        <v>0.36</v>
      </c>
      <c r="AH333" s="562"/>
      <c r="AI333" s="305" t="str">
        <f t="shared" si="49"/>
        <v>Moderado</v>
      </c>
      <c r="AJ333" s="145">
        <f>IF(Y333=[11]Listas!$G$55,AJ332-(AJ332*AB333),AJ332)</f>
        <v>0.6</v>
      </c>
      <c r="AK333" s="562"/>
      <c r="AL333" s="565"/>
      <c r="AM333" s="565"/>
      <c r="AN333" s="565"/>
      <c r="AO333" s="568"/>
      <c r="AP333" s="571"/>
      <c r="AQ333" s="324" t="s">
        <v>80</v>
      </c>
      <c r="AR333" s="232" t="s">
        <v>521</v>
      </c>
    </row>
    <row r="334" spans="2:70" ht="57" customHeight="1" thickTop="1" thickBot="1" x14ac:dyDescent="0.4">
      <c r="B334" s="537"/>
      <c r="C334" s="559"/>
      <c r="D334" s="574"/>
      <c r="E334" s="577"/>
      <c r="F334" s="625"/>
      <c r="G334" s="628"/>
      <c r="H334" s="628"/>
      <c r="I334" s="589"/>
      <c r="J334" s="589"/>
      <c r="K334" s="592"/>
      <c r="L334" s="589"/>
      <c r="M334" s="595"/>
      <c r="N334" s="598"/>
      <c r="O334" s="601"/>
      <c r="P334" s="595"/>
      <c r="Q334" s="604"/>
      <c r="R334" s="601"/>
      <c r="S334" s="287"/>
      <c r="T334" s="607"/>
      <c r="U334" s="142" t="s">
        <v>180</v>
      </c>
      <c r="V334" s="415"/>
      <c r="W334" s="319"/>
      <c r="X334" s="320" t="str">
        <f>IF(W334=[11]Listas!$B$46,[11]Listas!$C$46,IF(W334=[11]Listas!$B$47,[11]Listas!$C$47,IF(W334=[11]Listas!$B$48,[11]Listas!$C$48,"")))</f>
        <v/>
      </c>
      <c r="Y334" s="321" t="str">
        <f>IF(OR(W334=[11]Listas!$F$53,W334=[11]Listas!$F$54),[11]Listas!$G$53,IF(W334=[11]Listas!$F$55,[11]Listas!$G$55,""))</f>
        <v/>
      </c>
      <c r="Z334" s="319"/>
      <c r="AA334" s="182" t="str">
        <f>+IF(Z334=[11]Listas!$E$46,[11]Listas!$F$46,IF(Z334=[11]Listas!$E$47,[11]Listas!$F$47,""))</f>
        <v/>
      </c>
      <c r="AB334" s="183" t="str">
        <f>IFERROR(X334+AA334,"")</f>
        <v/>
      </c>
      <c r="AC334" s="325"/>
      <c r="AD334" s="326"/>
      <c r="AE334" s="327"/>
      <c r="AF334" s="305" t="str">
        <f t="shared" si="51"/>
        <v>Baja</v>
      </c>
      <c r="AG334" s="145">
        <f>IF(Y334=[11]Listas!$G$53,AG333-(AG333*AB334),AG333)</f>
        <v>0.36</v>
      </c>
      <c r="AH334" s="562"/>
      <c r="AI334" s="305" t="str">
        <f t="shared" si="49"/>
        <v>Moderado</v>
      </c>
      <c r="AJ334" s="145">
        <f>IF(Y334=[11]Listas!$G$55,AJ333-(AJ333*AB334),AJ333)</f>
        <v>0.6</v>
      </c>
      <c r="AK334" s="562"/>
      <c r="AL334" s="565"/>
      <c r="AM334" s="565"/>
      <c r="AN334" s="565"/>
      <c r="AO334" s="568"/>
      <c r="AP334" s="571"/>
      <c r="AQ334" s="324" t="s">
        <v>90</v>
      </c>
      <c r="AR334" s="233" t="s">
        <v>522</v>
      </c>
    </row>
    <row r="335" spans="2:70" ht="15" hidden="1" customHeight="1" x14ac:dyDescent="0.35">
      <c r="B335" s="537"/>
      <c r="C335" s="559"/>
      <c r="D335" s="574"/>
      <c r="E335" s="577"/>
      <c r="F335" s="625"/>
      <c r="G335" s="628"/>
      <c r="H335" s="628"/>
      <c r="I335" s="589"/>
      <c r="J335" s="589"/>
      <c r="K335" s="592"/>
      <c r="L335" s="589"/>
      <c r="M335" s="595"/>
      <c r="N335" s="598"/>
      <c r="O335" s="601"/>
      <c r="P335" s="595"/>
      <c r="Q335" s="604"/>
      <c r="R335" s="601"/>
      <c r="S335" s="287"/>
      <c r="T335" s="607"/>
      <c r="U335" s="142" t="s">
        <v>190</v>
      </c>
      <c r="V335" s="415"/>
      <c r="W335" s="319"/>
      <c r="X335" s="320" t="str">
        <f>IF(W335=[11]Listas!$B$46,[11]Listas!$C$46,IF(W335=[11]Listas!$B$47,[11]Listas!$C$47,IF(W335=[11]Listas!$B$48,[11]Listas!$C$48,"")))</f>
        <v/>
      </c>
      <c r="Y335" s="321" t="str">
        <f>IF(OR(W335=[11]Listas!$F$53,W335=[11]Listas!$F$54),[11]Listas!$G$53,IF(W335=[11]Listas!$F$55,[11]Listas!$G$55,""))</f>
        <v/>
      </c>
      <c r="Z335" s="319"/>
      <c r="AA335" s="182" t="str">
        <f>+IF(Z335=[11]Listas!$E$46,[11]Listas!$F$46,IF(Z335=[11]Listas!$E$47,[11]Listas!$F$47,""))</f>
        <v/>
      </c>
      <c r="AB335" s="183" t="str">
        <f t="shared" ref="AB335:AB341" si="52">IFERROR(X335+AA335,"")</f>
        <v/>
      </c>
      <c r="AC335" s="328"/>
      <c r="AD335" s="329"/>
      <c r="AE335" s="330"/>
      <c r="AF335" s="305" t="str">
        <f t="shared" si="51"/>
        <v>Baja</v>
      </c>
      <c r="AG335" s="145">
        <f>IF(Y335=[11]Listas!$G$53,AG334-(AG334*AB335),AG334)</f>
        <v>0.36</v>
      </c>
      <c r="AH335" s="562"/>
      <c r="AI335" s="305" t="str">
        <f t="shared" si="49"/>
        <v>Moderado</v>
      </c>
      <c r="AJ335" s="145">
        <f>IF(Y335=[11]Listas!$G$55,AJ334-(AJ334*AB335),AJ334)</f>
        <v>0.6</v>
      </c>
      <c r="AK335" s="562"/>
      <c r="AL335" s="565"/>
      <c r="AM335" s="565"/>
      <c r="AN335" s="565"/>
      <c r="AO335" s="568"/>
      <c r="AP335" s="571"/>
      <c r="AQ335" s="324"/>
      <c r="AR335" s="185"/>
    </row>
    <row r="336" spans="2:70" ht="15" hidden="1" customHeight="1" x14ac:dyDescent="0.35">
      <c r="B336" s="537"/>
      <c r="C336" s="559"/>
      <c r="D336" s="574"/>
      <c r="E336" s="577"/>
      <c r="F336" s="625"/>
      <c r="G336" s="628"/>
      <c r="H336" s="628"/>
      <c r="I336" s="589"/>
      <c r="J336" s="589"/>
      <c r="K336" s="592"/>
      <c r="L336" s="589"/>
      <c r="M336" s="595"/>
      <c r="N336" s="598"/>
      <c r="O336" s="601"/>
      <c r="P336" s="595"/>
      <c r="Q336" s="604"/>
      <c r="R336" s="601"/>
      <c r="S336" s="287"/>
      <c r="T336" s="607"/>
      <c r="U336" s="142" t="s">
        <v>198</v>
      </c>
      <c r="V336" s="415"/>
      <c r="W336" s="331"/>
      <c r="X336" s="320" t="str">
        <f>IF(W336=[11]Listas!$B$46,[11]Listas!$C$46,IF(W336=[11]Listas!$B$47,[11]Listas!$C$47,IF(W336=[11]Listas!$B$48,[11]Listas!$C$48,"")))</f>
        <v/>
      </c>
      <c r="Y336" s="321" t="str">
        <f>IF(OR(W336=[11]Listas!$F$53,W336=[11]Listas!$F$54),[11]Listas!$G$53,IF(W336=[11]Listas!$F$55,[11]Listas!$G$55,""))</f>
        <v/>
      </c>
      <c r="Z336" s="331"/>
      <c r="AA336" s="182" t="str">
        <f>+IF(Z336=[11]Listas!$E$46,[11]Listas!$F$46,IF(Z336=[11]Listas!$E$47,[11]Listas!$F$47,""))</f>
        <v/>
      </c>
      <c r="AB336" s="183" t="str">
        <f t="shared" si="52"/>
        <v/>
      </c>
      <c r="AC336" s="319"/>
      <c r="AD336" s="322"/>
      <c r="AE336" s="323"/>
      <c r="AF336" s="305" t="str">
        <f t="shared" si="51"/>
        <v>Baja</v>
      </c>
      <c r="AG336" s="145">
        <f>IF(Y336=[11]Listas!$G$53,AG335-(AG335*AB336),AG335)</f>
        <v>0.36</v>
      </c>
      <c r="AH336" s="562"/>
      <c r="AI336" s="305" t="str">
        <f t="shared" si="49"/>
        <v>Moderado</v>
      </c>
      <c r="AJ336" s="145">
        <f>IF(Y336=[11]Listas!$G$55,AJ335-(AJ335*AB336),AJ335)</f>
        <v>0.6</v>
      </c>
      <c r="AK336" s="562"/>
      <c r="AL336" s="565"/>
      <c r="AM336" s="565"/>
      <c r="AN336" s="565"/>
      <c r="AO336" s="568"/>
      <c r="AP336" s="571"/>
      <c r="AQ336" s="324"/>
      <c r="AR336" s="185"/>
    </row>
    <row r="337" spans="2:44" ht="15.75" hidden="1" customHeight="1" x14ac:dyDescent="0.35">
      <c r="B337" s="537"/>
      <c r="C337" s="559"/>
      <c r="D337" s="574"/>
      <c r="E337" s="577"/>
      <c r="F337" s="625"/>
      <c r="G337" s="628"/>
      <c r="H337" s="628"/>
      <c r="I337" s="589"/>
      <c r="J337" s="589"/>
      <c r="K337" s="592"/>
      <c r="L337" s="589"/>
      <c r="M337" s="595"/>
      <c r="N337" s="598"/>
      <c r="O337" s="601"/>
      <c r="P337" s="595"/>
      <c r="Q337" s="604"/>
      <c r="R337" s="601"/>
      <c r="S337" s="288"/>
      <c r="T337" s="607"/>
      <c r="U337" s="142" t="s">
        <v>208</v>
      </c>
      <c r="V337" s="415"/>
      <c r="W337" s="331"/>
      <c r="X337" s="320" t="str">
        <f>IF(W337=[11]Listas!$B$46,[11]Listas!$C$46,IF(W337=[11]Listas!$B$47,[11]Listas!$C$47,IF(W337=[11]Listas!$B$48,[11]Listas!$C$48,"")))</f>
        <v/>
      </c>
      <c r="Y337" s="321" t="str">
        <f>IF(OR(W337=[11]Listas!$F$53,W337=[11]Listas!$F$54),[11]Listas!$G$53,IF(W337=[11]Listas!$F$55,[11]Listas!$G$55,""))</f>
        <v/>
      </c>
      <c r="Z337" s="331"/>
      <c r="AA337" s="182" t="str">
        <f>+IF(Z337=[11]Listas!$E$46,[11]Listas!$F$46,IF(Z337=[11]Listas!$E$47,[11]Listas!$F$47,""))</f>
        <v/>
      </c>
      <c r="AB337" s="183" t="str">
        <f t="shared" si="52"/>
        <v/>
      </c>
      <c r="AC337" s="319"/>
      <c r="AD337" s="322"/>
      <c r="AE337" s="323"/>
      <c r="AF337" s="305" t="str">
        <f t="shared" si="51"/>
        <v>Baja</v>
      </c>
      <c r="AG337" s="145">
        <f>IF(Y337=[11]Listas!$G$53,AG336-(AG336*AB337),AG336)</f>
        <v>0.36</v>
      </c>
      <c r="AH337" s="562"/>
      <c r="AI337" s="305" t="str">
        <f t="shared" si="49"/>
        <v>Moderado</v>
      </c>
      <c r="AJ337" s="145">
        <f>IF(Y337=[11]Listas!$G$55,AJ336-(AJ336*AB337),AJ336)</f>
        <v>0.6</v>
      </c>
      <c r="AK337" s="562"/>
      <c r="AL337" s="565"/>
      <c r="AM337" s="565"/>
      <c r="AN337" s="565"/>
      <c r="AO337" s="568"/>
      <c r="AP337" s="571"/>
      <c r="AQ337" s="332"/>
      <c r="AR337" s="185"/>
    </row>
    <row r="338" spans="2:44" ht="15" hidden="1" customHeight="1" x14ac:dyDescent="0.35">
      <c r="B338" s="537"/>
      <c r="C338" s="559"/>
      <c r="D338" s="574"/>
      <c r="E338" s="577"/>
      <c r="F338" s="625"/>
      <c r="G338" s="628"/>
      <c r="H338" s="628"/>
      <c r="I338" s="589"/>
      <c r="J338" s="589"/>
      <c r="K338" s="592"/>
      <c r="L338" s="589"/>
      <c r="M338" s="595"/>
      <c r="N338" s="598"/>
      <c r="O338" s="601"/>
      <c r="P338" s="595"/>
      <c r="Q338" s="604"/>
      <c r="R338" s="601"/>
      <c r="S338" s="289"/>
      <c r="T338" s="607"/>
      <c r="U338" s="142" t="s">
        <v>215</v>
      </c>
      <c r="V338" s="415"/>
      <c r="W338" s="331"/>
      <c r="X338" s="320" t="str">
        <f>IF(W338=[11]Listas!$B$46,[11]Listas!$C$46,IF(W338=[11]Listas!$B$47,[11]Listas!$C$47,IF(W338=[11]Listas!$B$48,[11]Listas!$C$48,"")))</f>
        <v/>
      </c>
      <c r="Y338" s="321" t="str">
        <f>IF(OR(W338=[11]Listas!$F$53,W338=[11]Listas!$F$54),[11]Listas!$G$53,IF(W338=[11]Listas!$F$55,[11]Listas!$G$55,""))</f>
        <v/>
      </c>
      <c r="Z338" s="331"/>
      <c r="AA338" s="182" t="str">
        <f>+IF(Z338=[11]Listas!$E$46,[11]Listas!$F$46,IF(Z338=[11]Listas!$E$47,[11]Listas!$F$47,""))</f>
        <v/>
      </c>
      <c r="AB338" s="183" t="str">
        <f t="shared" si="52"/>
        <v/>
      </c>
      <c r="AC338" s="319"/>
      <c r="AD338" s="322"/>
      <c r="AE338" s="323"/>
      <c r="AF338" s="305" t="str">
        <f t="shared" si="51"/>
        <v>Baja</v>
      </c>
      <c r="AG338" s="145">
        <f>IF(Y338=[11]Listas!$G$53,AG337-(AG337*AB338),AG337)</f>
        <v>0.36</v>
      </c>
      <c r="AH338" s="562"/>
      <c r="AI338" s="305" t="str">
        <f t="shared" si="49"/>
        <v>Moderado</v>
      </c>
      <c r="AJ338" s="145">
        <f>IF(Y338=[11]Listas!$G$55,AJ337-(AJ337*AB338),AJ337)</f>
        <v>0.6</v>
      </c>
      <c r="AK338" s="562"/>
      <c r="AL338" s="565"/>
      <c r="AM338" s="565"/>
      <c r="AN338" s="565"/>
      <c r="AO338" s="568"/>
      <c r="AP338" s="571"/>
      <c r="AQ338" s="333"/>
      <c r="AR338" s="185"/>
    </row>
    <row r="339" spans="2:44" ht="15" hidden="1" customHeight="1" x14ac:dyDescent="0.35">
      <c r="B339" s="537"/>
      <c r="C339" s="559"/>
      <c r="D339" s="574"/>
      <c r="E339" s="577"/>
      <c r="F339" s="625"/>
      <c r="G339" s="628"/>
      <c r="H339" s="628"/>
      <c r="I339" s="589"/>
      <c r="J339" s="589"/>
      <c r="K339" s="592"/>
      <c r="L339" s="589"/>
      <c r="M339" s="595"/>
      <c r="N339" s="598"/>
      <c r="O339" s="601"/>
      <c r="P339" s="595"/>
      <c r="Q339" s="604"/>
      <c r="R339" s="601"/>
      <c r="S339" s="289"/>
      <c r="T339" s="607"/>
      <c r="U339" s="142" t="s">
        <v>220</v>
      </c>
      <c r="V339" s="415"/>
      <c r="W339" s="331"/>
      <c r="X339" s="320" t="str">
        <f>IF(W339=[11]Listas!$B$46,[11]Listas!$C$46,IF(W339=[11]Listas!$B$47,[11]Listas!$C$47,IF(W339=[11]Listas!$B$48,[11]Listas!$C$48,"")))</f>
        <v/>
      </c>
      <c r="Y339" s="321" t="str">
        <f>IF(OR(W339=[11]Listas!$F$53,W339=[11]Listas!$F$54),[11]Listas!$G$53,IF(W339=[11]Listas!$F$55,[11]Listas!$G$55,""))</f>
        <v/>
      </c>
      <c r="Z339" s="331"/>
      <c r="AA339" s="182" t="str">
        <f>+IF(Z339=[11]Listas!$E$46,[11]Listas!$F$46,IF(Z339=[11]Listas!$E$47,[11]Listas!$F$47,""))</f>
        <v/>
      </c>
      <c r="AB339" s="183" t="str">
        <f t="shared" si="52"/>
        <v/>
      </c>
      <c r="AC339" s="319"/>
      <c r="AD339" s="322"/>
      <c r="AE339" s="323"/>
      <c r="AF339" s="305" t="str">
        <f t="shared" si="51"/>
        <v>Baja</v>
      </c>
      <c r="AG339" s="145">
        <f>IF(Y339=[11]Listas!$G$53,AG338-(AG338*AB339),AG338)</f>
        <v>0.36</v>
      </c>
      <c r="AH339" s="562"/>
      <c r="AI339" s="305" t="str">
        <f t="shared" si="49"/>
        <v>Moderado</v>
      </c>
      <c r="AJ339" s="145">
        <f>IF(Y339=[11]Listas!$G$55,AJ338-(AJ338*AB339),AJ338)</f>
        <v>0.6</v>
      </c>
      <c r="AK339" s="562"/>
      <c r="AL339" s="565"/>
      <c r="AM339" s="565"/>
      <c r="AN339" s="565"/>
      <c r="AO339" s="568"/>
      <c r="AP339" s="571"/>
      <c r="AQ339" s="334"/>
      <c r="AR339" s="185"/>
    </row>
    <row r="340" spans="2:44" ht="15" hidden="1" customHeight="1" x14ac:dyDescent="0.35">
      <c r="B340" s="537"/>
      <c r="C340" s="559"/>
      <c r="D340" s="574"/>
      <c r="E340" s="577"/>
      <c r="F340" s="625"/>
      <c r="G340" s="628"/>
      <c r="H340" s="628"/>
      <c r="I340" s="589"/>
      <c r="J340" s="589"/>
      <c r="K340" s="592"/>
      <c r="L340" s="589"/>
      <c r="M340" s="595"/>
      <c r="N340" s="598"/>
      <c r="O340" s="601"/>
      <c r="P340" s="595"/>
      <c r="Q340" s="604"/>
      <c r="R340" s="601"/>
      <c r="S340" s="289"/>
      <c r="T340" s="607"/>
      <c r="U340" s="142" t="s">
        <v>223</v>
      </c>
      <c r="V340" s="415"/>
      <c r="W340" s="331"/>
      <c r="X340" s="320" t="str">
        <f>IF(W340=[11]Listas!$B$46,[11]Listas!$C$46,IF(W340=[11]Listas!$B$47,[11]Listas!$C$47,IF(W340=[11]Listas!$B$48,[11]Listas!$C$48,"")))</f>
        <v/>
      </c>
      <c r="Y340" s="321" t="str">
        <f>IF(OR(W340=[11]Listas!$F$53,W340=[11]Listas!$F$54),[11]Listas!$G$53,IF(W340=[11]Listas!$F$55,[11]Listas!$G$55,""))</f>
        <v/>
      </c>
      <c r="Z340" s="331"/>
      <c r="AA340" s="182" t="str">
        <f>+IF(Z340=[11]Listas!$E$46,[11]Listas!$F$46,IF(Z340=[11]Listas!$E$47,[11]Listas!$F$47,""))</f>
        <v/>
      </c>
      <c r="AB340" s="183" t="str">
        <f t="shared" si="52"/>
        <v/>
      </c>
      <c r="AC340" s="319"/>
      <c r="AD340" s="322"/>
      <c r="AE340" s="323"/>
      <c r="AF340" s="305" t="str">
        <f t="shared" si="51"/>
        <v>Baja</v>
      </c>
      <c r="AG340" s="145">
        <f>IF(Y340=[11]Listas!$G$53,AG339-(AG339*AB340),AG339)</f>
        <v>0.36</v>
      </c>
      <c r="AH340" s="562"/>
      <c r="AI340" s="305" t="str">
        <f t="shared" si="49"/>
        <v>Moderado</v>
      </c>
      <c r="AJ340" s="145">
        <f>IF(Y340=[11]Listas!$G$55,AJ339-(AJ339*AB340),AJ339)</f>
        <v>0.6</v>
      </c>
      <c r="AK340" s="562"/>
      <c r="AL340" s="565"/>
      <c r="AM340" s="565"/>
      <c r="AN340" s="565"/>
      <c r="AO340" s="568"/>
      <c r="AP340" s="571"/>
      <c r="AQ340" s="324"/>
      <c r="AR340" s="185"/>
    </row>
    <row r="341" spans="2:44" ht="15.75" hidden="1" customHeight="1" x14ac:dyDescent="0.35">
      <c r="B341" s="537"/>
      <c r="C341" s="559"/>
      <c r="D341" s="575"/>
      <c r="E341" s="578"/>
      <c r="F341" s="626"/>
      <c r="G341" s="629"/>
      <c r="H341" s="629"/>
      <c r="I341" s="590"/>
      <c r="J341" s="590"/>
      <c r="K341" s="593"/>
      <c r="L341" s="590"/>
      <c r="M341" s="596"/>
      <c r="N341" s="599"/>
      <c r="O341" s="602"/>
      <c r="P341" s="596"/>
      <c r="Q341" s="605"/>
      <c r="R341" s="602"/>
      <c r="S341" s="293"/>
      <c r="T341" s="608"/>
      <c r="U341" s="202" t="s">
        <v>224</v>
      </c>
      <c r="V341" s="416"/>
      <c r="W341" s="335"/>
      <c r="X341" s="336" t="str">
        <f>IF(W341=[11]Listas!$B$46,[11]Listas!$C$46,IF(W341=[11]Listas!$B$47,[11]Listas!$C$47,IF(W341=[11]Listas!$B$48,[11]Listas!$C$48,"")))</f>
        <v/>
      </c>
      <c r="Y341" s="337" t="str">
        <f>IF(OR(W341=[11]Listas!$F$53,W341=[11]Listas!$F$54),[11]Listas!$G$53,IF(W341=[11]Listas!$F$55,[11]Listas!$G$55,""))</f>
        <v/>
      </c>
      <c r="Z341" s="335"/>
      <c r="AA341" s="186" t="str">
        <f>+IF(Z341=[11]Listas!$E$46,[11]Listas!$F$46,IF(Z341=[11]Listas!$E$47,[11]Listas!$F$47,""))</f>
        <v/>
      </c>
      <c r="AB341" s="187" t="str">
        <f t="shared" si="52"/>
        <v/>
      </c>
      <c r="AC341" s="338"/>
      <c r="AD341" s="339"/>
      <c r="AE341" s="340"/>
      <c r="AF341" s="311" t="str">
        <f t="shared" si="51"/>
        <v>Baja</v>
      </c>
      <c r="AG341" s="179">
        <f>IF(Y341=[11]Listas!$G$53,AG340-(AG340*AB341),AG340)</f>
        <v>0.36</v>
      </c>
      <c r="AH341" s="563"/>
      <c r="AI341" s="311" t="str">
        <f t="shared" si="49"/>
        <v>Moderado</v>
      </c>
      <c r="AJ341" s="179">
        <f>IF(Y341=[11]Listas!$G$55,AJ340-(AJ340*AB341),AJ340)</f>
        <v>0.6</v>
      </c>
      <c r="AK341" s="563"/>
      <c r="AL341" s="566"/>
      <c r="AM341" s="566"/>
      <c r="AN341" s="566"/>
      <c r="AO341" s="569"/>
      <c r="AP341" s="572"/>
      <c r="AQ341" s="341"/>
      <c r="AR341" s="188"/>
    </row>
    <row r="342" spans="2:44" ht="84.75" customHeight="1" thickTop="1" thickBot="1" x14ac:dyDescent="0.4">
      <c r="B342" s="537"/>
      <c r="C342" s="559"/>
      <c r="D342" s="609" t="s">
        <v>523</v>
      </c>
      <c r="E342" s="576" t="s">
        <v>5</v>
      </c>
      <c r="F342" s="624" t="s">
        <v>524</v>
      </c>
      <c r="G342" s="627" t="s">
        <v>525</v>
      </c>
      <c r="H342" s="627" t="s">
        <v>526</v>
      </c>
      <c r="I342" s="588" t="s">
        <v>28</v>
      </c>
      <c r="J342" s="588" t="s">
        <v>22</v>
      </c>
      <c r="K342" s="591" t="s">
        <v>527</v>
      </c>
      <c r="L342" s="588" t="s">
        <v>186</v>
      </c>
      <c r="M342" s="594" t="s">
        <v>207</v>
      </c>
      <c r="N342" s="597" t="str">
        <f>+IF(M342="","",IF(M342=$BO$15,$BN$15,IF(M342=$BO$16,$BN$16,IF(M342=$BO$17,$BN$17,IF(M342=$BO$18,$BN$18,IF(M342=$BO$19,$BN$19))))))</f>
        <v>Baja</v>
      </c>
      <c r="O342" s="600">
        <f>+IF(M342="","",IF(M342=$BO$15,$BR$15,IF(M342=$BO$16,$BR$16,IF(M342=$BO$17,$BR$17,IF(M342=$BO$18,$BR$18,IF(M342=$BO$19,$BR$19))))))</f>
        <v>0.4</v>
      </c>
      <c r="P342" s="594" t="s">
        <v>212</v>
      </c>
      <c r="Q342" s="603" t="str">
        <f>+IF(P342="","",IF(P342='[9]Mapa de Calor inherente'!$AF$6,'[9]Mapa de Calor inherente'!$AD$6,IF(P342='[9]Mapa de Calor inherente'!$AF$7,'[9]Mapa de Calor inherente'!$AD$7,IF(P342='[9]Mapa de Calor inherente'!$AF$8,'[9]Mapa de Calor inherente'!$AD$8,IF(P342='[9]Mapa de Calor inherente'!$AF$9,'[9]Mapa de Calor inherente'!$AD$9,IF(P342='[9]Mapa de Calor inherente'!$AF$10,'[9]Mapa de Calor inherente'!$AD$10,IF(P342='[9]Mapa de Calor inherente'!$AG$6,'[9]Mapa de Calor inherente'!$AD$6,IF(P342='[9]Mapa de Calor inherente'!$AG$7,'[9]Mapa de Calor inherente'!$AD$7,IF(P342='[9]Mapa de Calor inherente'!$AG$8,'[9]Mapa de Calor inherente'!$AD$8,IF(P342='[9]Mapa de Calor inherente'!$AG$9,'[9]Mapa de Calor inherente'!$AD$9,IF(P342='[9]Mapa de Calor inherente'!$AG$10,'[9]Mapa de Calor inherente'!$AD$10,IF(P342='[9]Mapa de Calor inherente'!$AD$8,'[9]Mapa de Calor inherente'!$AD$8,IF(P342='[9]Mapa de Calor inherente'!$AD$9,'[9]Mapa de Calor inherente'!$AD$9,IF(P342='[9]Mapa de Calor inherente'!$AD$10,'[9]Mapa de Calor inherente'!$AD$10))))))))))))))</f>
        <v>Moderado</v>
      </c>
      <c r="R342" s="600">
        <f>+IF(P342="","",IF(P342='[11]Mapa de Calor inherente'!$AF$6,'[11]Mapa de Calor inherente'!$AE$6,IF(P342='[11]Mapa de Calor inherente'!$AF$7,'[11]Mapa de Calor inherente'!$AE$7,IF(P342='[11]Mapa de Calor inherente'!$AF$8,'[11]Mapa de Calor inherente'!$AE$8,IF(P342='[11]Mapa de Calor inherente'!$AF$9,'[11]Mapa de Calor inherente'!$AE$9,IF(P342='[11]Mapa de Calor inherente'!$AF$10,'[11]Mapa de Calor inherente'!$AE$10,IF(P342='[11]Mapa de Calor inherente'!$AG$6,'[11]Mapa de Calor inherente'!$AE$6,IF(P342='[11]Mapa de Calor inherente'!$AG$7,'[11]Mapa de Calor inherente'!$AE$7,IF(P342='[11]Mapa de Calor inherente'!$AG$8,'[11]Mapa de Calor inherente'!$AE$8,IF(P342='[11]Mapa de Calor inherente'!$AG$9,'[11]Mapa de Calor inherente'!$AE$9,IF(P342='[11]Mapa de Calor inherente'!$AG$10,'[11]Mapa de Calor inherente'!$AE$10,IF(P342='[11]Mapa de Calor inherente'!$AD$8,'[11]Mapa de Calor inherente'!$AE$8,IF(P342='[11]Mapa de Calor inherente'!$AD$9,'[11]Mapa de Calor inherente'!$AE$9,IF(P342='[11]Mapa de Calor inherente'!$AD$10,'[11]Mapa de Calor inherente'!$AE$10))))))))))))))</f>
        <v>0.6</v>
      </c>
      <c r="S342" s="292"/>
      <c r="T342" s="603" t="str">
        <f>+IF(N342=$BB$17,IF(Q342=$BC$16,$BC$17,IF(Q342=$BD$16,$BD$17,IF(Q342=$BE$16,$BE$17,IF(Q342=$BF$16,$BF$17,IF(Q342=$BG$16,$BG$17))))),IF(N342=$BB$18,IF(Q342=$BC$16,$BC$18,IF(Q342=$BD$16,$BD$18,IF(Q342=$BE$16,$BE$18,IF(Q342=$BF$16,$BF$18,IF(Q342=$BG$16,$BG$18))))),IF(N342=$BB$19,IF(Q342=$BC$16,$BC$19,IF(Q342=$BD$16,$BD$19,IF(Q342=$BE$16,$BE$19,IF(Q342=$BF$16,$BF$19,IF(Q342=$BG$16,$BG$19))))),IF(N342=$BB$20,IF(Q342=$BC$16,$BC$20,IF(Q342=$BD$16,$BD$20,IF(Q342=$BE$16,$BE$20,IF(Q342=$BF$16,$BF$20,IF(Q342=$BG$16,$BG$20))))),IF(N342=$BB$21,IF(Q342=$BC$16,$BC$21,IF(Q342=$BD$16,$BD$21,IF(Q342=$BE$16,$BE$21,IF(Q342=$BF$16,$BF$21,IF(Q342=$BG$16,$BG$21))))),"")))))</f>
        <v>Moderado</v>
      </c>
      <c r="U342" s="139" t="s">
        <v>171</v>
      </c>
      <c r="V342" s="461" t="s">
        <v>528</v>
      </c>
      <c r="W342" s="313" t="s">
        <v>40</v>
      </c>
      <c r="X342" s="314">
        <f>IF(W342=[11]Listas!$B$46,[11]Listas!$C$46,IF(W342=[11]Listas!$B$47,[11]Listas!$C$47,IF(W342=[11]Listas!$B$48,[11]Listas!$C$48,"")))</f>
        <v>0.25</v>
      </c>
      <c r="Y342" s="315" t="str">
        <f>IF(OR(W342=[11]Listas!$F$53,W342=[11]Listas!$F$54),[11]Listas!$G$53,IF(W342=[11]Listas!$F$55,[11]Listas!$G$55,""))</f>
        <v>Probabilidad</v>
      </c>
      <c r="Z342" s="313" t="s">
        <v>43</v>
      </c>
      <c r="AA342" s="314">
        <f>+IF(Z342=[11]Listas!$E$46,[11]Listas!$F$46,IF(Z342=[11]Listas!$E$47,[11]Listas!$F$47,""))</f>
        <v>0.15</v>
      </c>
      <c r="AB342" s="181">
        <f>IFERROR(X342+AA342,"")</f>
        <v>0.4</v>
      </c>
      <c r="AC342" s="313" t="s">
        <v>57</v>
      </c>
      <c r="AD342" s="313" t="s">
        <v>58</v>
      </c>
      <c r="AE342" s="317" t="s">
        <v>59</v>
      </c>
      <c r="AF342" s="299" t="str">
        <f t="shared" si="51"/>
        <v>Baja</v>
      </c>
      <c r="AG342" s="141">
        <f>IF(Y342=[11]Listas!$G$53,O342-(O342*AB342),O342)</f>
        <v>0.24</v>
      </c>
      <c r="AH342" s="561">
        <f>+IF(AG351="","",AG351)</f>
        <v>0.14399999999999999</v>
      </c>
      <c r="AI342" s="299" t="str">
        <f>IF(AJ342="","",IF(AJ342&lt;=20%,"Leve",IF(AJ342&lt;=40%,"Menor",IF(AJ342&lt;=60%,"Moderado",IF(AJ342&lt;=80%,"Mayor","Catastrófico")))))</f>
        <v>Moderado</v>
      </c>
      <c r="AJ342" s="141">
        <f>IF(Y342=[11]Listas!$G$55,R342-(R342*AB342),R342)</f>
        <v>0.6</v>
      </c>
      <c r="AK342" s="561">
        <f>+IF(AJ351="","",AJ351)</f>
        <v>0.6</v>
      </c>
      <c r="AL342" s="564" t="str">
        <f>+IF(AH342=0,"",IF(AH342&lt;=$BA$21,$BB$21,IF(AH342&lt;=$BA$20,$BB$20,IF(AH342&lt;=$BA$19,$BB$19,IF(AH342&lt;=$BA$18,$BB$18,IF(AH342&lt;=$BA$17,$BB$17,""))))))</f>
        <v>Muy Baja</v>
      </c>
      <c r="AM342" s="564" t="str">
        <f>+IF(AK342=0,"",IF(AK342&lt;=$BC$15,$BC$16,IF(AK342&lt;=$BD$15,$BD$16,IF(AK342&lt;=$BE$15,$BE$16,IF(AK342&lt;=$BF$15,$BF$16,IF(AK342&lt;=$BG$15,$BG$16,""))))))</f>
        <v>Moderado</v>
      </c>
      <c r="AN342" s="564" t="str">
        <f>IF(AL342=$BB$17,IF(AM342=$BC$16,$BC$17,IF(AM342=$BD$16,$BD$17,IF(AM342=$BE$16,$BE$17,IF(AM342=$BF$16,$BF$17,IF(AM342=$BG$16,$BG$17))))),IF(AL342=$BB$18,IF(AM342=$BC$16,$BC$18,IF(AM342=$BD$16,$BD$18,IF(AM342=$BE$16,$BE$18,IF(AM342=$BF$16,$BF$18,IF(AM342=$BG$16,$BG$18))))),IF(AL342=$BB$19,IF(AM342=$BC$16,$BC$19,IF(AM342=$BD$16,$BD$19,IF(AM342=$BE$16,$BE$19,IF(AM342=$BF$16,$BF$19,IF(AM342=$BG$16,$BG$19))))),IF(AL342=$BB$20,IF(AM342=$BC$16,$BC$20,IF(AM342=$BD$16,$BD$20,IF(AM342=$BE$16,$BE$20,IF(AM342=$BF$16,$BF$20,IF(AM342=$BG$16,$BG$20))))),IF(AL342=$BB$21,IF(AM342=$BC$16,$BC$21,IF(AM342=$BD$16,$BD$21,IF(AM342=$BE$16,$BE$21,IF(AM342=$BF$16,$BF$21,IF(AM342=$BG$16,$BG$21))))),"")))))</f>
        <v>Moderado</v>
      </c>
      <c r="AO342" s="567" t="str">
        <f>IF(AP342="","",IF(AP342=[11]Listas!$F$61,[11]Listas!$G$61,IF(AP342=[11]Listas!$F$63,[11]Listas!$G$63,IF(AP342=[11]Listas!$F$64,[11]Listas!$G$64))))</f>
        <v>Requiere Plan de Acción</v>
      </c>
      <c r="AP342" s="570" t="str">
        <f>IF(AN342="","",IF(OR(AN342=[11]Listas!$E$61,AN342=[11]Listas!$E$62),[11]Listas!$F$61,IF(AN342=[11]Listas!$E$63,[11]Listas!$F$63,IF(AN342=[11]Listas!$E$64,[11]Listas!$F$64))))</f>
        <v>Aceptar o reducir el riesgo</v>
      </c>
      <c r="AQ342" s="342" t="s">
        <v>80</v>
      </c>
      <c r="AR342" s="116" t="s">
        <v>529</v>
      </c>
    </row>
    <row r="343" spans="2:44" ht="130.5" customHeight="1" thickTop="1" thickBot="1" x14ac:dyDescent="0.4">
      <c r="B343" s="537"/>
      <c r="C343" s="559"/>
      <c r="D343" s="610"/>
      <c r="E343" s="577"/>
      <c r="F343" s="625"/>
      <c r="G343" s="628"/>
      <c r="H343" s="628"/>
      <c r="I343" s="589"/>
      <c r="J343" s="589"/>
      <c r="K343" s="592"/>
      <c r="L343" s="589"/>
      <c r="M343" s="595"/>
      <c r="N343" s="598"/>
      <c r="O343" s="601"/>
      <c r="P343" s="595"/>
      <c r="Q343" s="604"/>
      <c r="R343" s="601"/>
      <c r="S343" s="286"/>
      <c r="T343" s="604"/>
      <c r="U343" s="142" t="s">
        <v>174</v>
      </c>
      <c r="V343" s="462" t="s">
        <v>530</v>
      </c>
      <c r="W343" s="331" t="s">
        <v>40</v>
      </c>
      <c r="X343" s="320">
        <f>IF(W343=[11]Listas!$B$46,[11]Listas!$C$46,IF(W343=[11]Listas!$B$47,[11]Listas!$C$47,IF(W343=[11]Listas!$B$48,[11]Listas!$C$48,"")))</f>
        <v>0.25</v>
      </c>
      <c r="Y343" s="321" t="str">
        <f>IF(OR(W343=[11]Listas!$F$53,W343=[11]Listas!$F$54),[11]Listas!$G$53,IF(W343=[11]Listas!$F$55,[11]Listas!$G$55,""))</f>
        <v>Probabilidad</v>
      </c>
      <c r="Z343" s="331" t="s">
        <v>43</v>
      </c>
      <c r="AA343" s="182">
        <f>+IF(Z343=[11]Listas!$E$46,[11]Listas!$F$46,IF(Z343=[11]Listas!$E$47,[11]Listas!$F$47,""))</f>
        <v>0.15</v>
      </c>
      <c r="AB343" s="183">
        <f>IFERROR(X343+AA343,"")</f>
        <v>0.4</v>
      </c>
      <c r="AC343" s="319" t="s">
        <v>57</v>
      </c>
      <c r="AD343" s="319" t="s">
        <v>58</v>
      </c>
      <c r="AE343" s="323" t="s">
        <v>59</v>
      </c>
      <c r="AF343" s="305" t="str">
        <f t="shared" si="51"/>
        <v>Muy baja</v>
      </c>
      <c r="AG343" s="145">
        <f>IF(Y343=[11]Listas!$G$53,AG342-(AG342*AB343),AG342)</f>
        <v>0.14399999999999999</v>
      </c>
      <c r="AH343" s="562"/>
      <c r="AI343" s="305" t="str">
        <f t="shared" si="49"/>
        <v>Moderado</v>
      </c>
      <c r="AJ343" s="145">
        <f>IF(Y343=[11]Listas!$G$55,AJ342-(AJ342*AB343),AJ342)</f>
        <v>0.6</v>
      </c>
      <c r="AK343" s="562"/>
      <c r="AL343" s="565"/>
      <c r="AM343" s="565"/>
      <c r="AN343" s="565"/>
      <c r="AO343" s="568"/>
      <c r="AP343" s="571"/>
      <c r="AQ343" s="343" t="s">
        <v>80</v>
      </c>
      <c r="AR343" s="117" t="s">
        <v>531</v>
      </c>
    </row>
    <row r="344" spans="2:44" ht="95.5" customHeight="1" thickTop="1" thickBot="1" x14ac:dyDescent="0.4">
      <c r="B344" s="537"/>
      <c r="C344" s="559"/>
      <c r="D344" s="610"/>
      <c r="E344" s="577"/>
      <c r="F344" s="625"/>
      <c r="G344" s="628"/>
      <c r="H344" s="628"/>
      <c r="I344" s="589"/>
      <c r="J344" s="589"/>
      <c r="K344" s="592"/>
      <c r="L344" s="589"/>
      <c r="M344" s="595"/>
      <c r="N344" s="598"/>
      <c r="O344" s="601"/>
      <c r="P344" s="595"/>
      <c r="Q344" s="604"/>
      <c r="R344" s="601"/>
      <c r="S344" s="287"/>
      <c r="T344" s="604"/>
      <c r="U344" s="142" t="s">
        <v>180</v>
      </c>
      <c r="V344" s="415"/>
      <c r="W344" s="331"/>
      <c r="X344" s="320" t="str">
        <f>IF(W344=[11]Listas!$B$46,[11]Listas!$C$46,IF(W344=[11]Listas!$B$47,[11]Listas!$C$47,IF(W344=[11]Listas!$B$48,[11]Listas!$C$48,"")))</f>
        <v/>
      </c>
      <c r="Y344" s="321" t="str">
        <f>IF(OR(W344=[11]Listas!$F$53,W344=[11]Listas!$F$54),[11]Listas!$G$53,IF(W344=[11]Listas!$F$55,[11]Listas!$G$55,""))</f>
        <v/>
      </c>
      <c r="Z344" s="331"/>
      <c r="AA344" s="182" t="str">
        <f>+IF(Z344=[11]Listas!$E$46,[11]Listas!$F$46,IF(Z344=[11]Listas!$E$47,[11]Listas!$F$47,""))</f>
        <v/>
      </c>
      <c r="AB344" s="183" t="str">
        <f>IFERROR(X344+AA344,"")</f>
        <v/>
      </c>
      <c r="AC344" s="319"/>
      <c r="AD344" s="319"/>
      <c r="AE344" s="323"/>
      <c r="AF344" s="305" t="str">
        <f t="shared" si="51"/>
        <v>Muy baja</v>
      </c>
      <c r="AG344" s="145">
        <f>IF(Y344=[11]Listas!$G$53,AG343-(AG343*AB344),AG343)</f>
        <v>0.14399999999999999</v>
      </c>
      <c r="AH344" s="562"/>
      <c r="AI344" s="305" t="str">
        <f t="shared" si="49"/>
        <v>Moderado</v>
      </c>
      <c r="AJ344" s="145">
        <f>IF(Y344=[11]Listas!$G$55,AJ343-(AJ343*AB344),AJ343)</f>
        <v>0.6</v>
      </c>
      <c r="AK344" s="562"/>
      <c r="AL344" s="565"/>
      <c r="AM344" s="565"/>
      <c r="AN344" s="565"/>
      <c r="AO344" s="568"/>
      <c r="AP344" s="571"/>
      <c r="AQ344" s="343" t="s">
        <v>90</v>
      </c>
      <c r="AR344" s="184" t="s">
        <v>532</v>
      </c>
    </row>
    <row r="345" spans="2:44" ht="15" hidden="1" customHeight="1" x14ac:dyDescent="0.35">
      <c r="B345" s="537"/>
      <c r="C345" s="559"/>
      <c r="D345" s="610"/>
      <c r="E345" s="577"/>
      <c r="F345" s="625"/>
      <c r="G345" s="628"/>
      <c r="H345" s="628"/>
      <c r="I345" s="589"/>
      <c r="J345" s="589"/>
      <c r="K345" s="592"/>
      <c r="L345" s="589"/>
      <c r="M345" s="595"/>
      <c r="N345" s="598"/>
      <c r="O345" s="601"/>
      <c r="P345" s="595"/>
      <c r="Q345" s="604"/>
      <c r="R345" s="601"/>
      <c r="S345" s="287"/>
      <c r="T345" s="604"/>
      <c r="U345" s="142" t="s">
        <v>190</v>
      </c>
      <c r="V345" s="415"/>
      <c r="W345" s="331"/>
      <c r="X345" s="320" t="str">
        <f>IF(W345=[11]Listas!$B$46,[11]Listas!$C$46,IF(W345=[11]Listas!$B$47,[11]Listas!$C$47,IF(W345=[11]Listas!$B$48,[11]Listas!$C$48,"")))</f>
        <v/>
      </c>
      <c r="Y345" s="321" t="str">
        <f>IF(OR(W345=[11]Listas!$F$53,W345=[11]Listas!$F$54),[11]Listas!$G$53,IF(W345=[11]Listas!$F$55,[11]Listas!$G$55,""))</f>
        <v/>
      </c>
      <c r="Z345" s="331"/>
      <c r="AA345" s="182" t="str">
        <f>+IF(Z345=[11]Listas!$E$46,[11]Listas!$F$46,IF(Z345=[11]Listas!$E$47,[11]Listas!$F$47,""))</f>
        <v/>
      </c>
      <c r="AB345" s="183" t="str">
        <f t="shared" ref="AB345:AB351" si="53">IFERROR(X345+AA345,"")</f>
        <v/>
      </c>
      <c r="AC345" s="319"/>
      <c r="AD345" s="319"/>
      <c r="AE345" s="323"/>
      <c r="AF345" s="305" t="str">
        <f t="shared" si="51"/>
        <v>Muy baja</v>
      </c>
      <c r="AG345" s="145">
        <f>IF(Y345=[11]Listas!$G$53,AG344-(AG344*AB345),AG344)</f>
        <v>0.14399999999999999</v>
      </c>
      <c r="AH345" s="562"/>
      <c r="AI345" s="305" t="str">
        <f t="shared" si="49"/>
        <v>Moderado</v>
      </c>
      <c r="AJ345" s="145">
        <f>IF(Y345=[11]Listas!$G$55,AJ344-(AJ344*AB345),AJ344)</f>
        <v>0.6</v>
      </c>
      <c r="AK345" s="562"/>
      <c r="AL345" s="565"/>
      <c r="AM345" s="565"/>
      <c r="AN345" s="565"/>
      <c r="AO345" s="568"/>
      <c r="AP345" s="571"/>
      <c r="AQ345" s="344"/>
      <c r="AR345" s="191"/>
    </row>
    <row r="346" spans="2:44" ht="15" hidden="1" customHeight="1" x14ac:dyDescent="0.35">
      <c r="B346" s="537"/>
      <c r="C346" s="559"/>
      <c r="D346" s="610"/>
      <c r="E346" s="577"/>
      <c r="F346" s="625"/>
      <c r="G346" s="628"/>
      <c r="H346" s="628"/>
      <c r="I346" s="589"/>
      <c r="J346" s="589"/>
      <c r="K346" s="592"/>
      <c r="L346" s="589"/>
      <c r="M346" s="595"/>
      <c r="N346" s="598"/>
      <c r="O346" s="601"/>
      <c r="P346" s="595"/>
      <c r="Q346" s="604"/>
      <c r="R346" s="601"/>
      <c r="S346" s="287"/>
      <c r="T346" s="604"/>
      <c r="U346" s="142" t="s">
        <v>198</v>
      </c>
      <c r="V346" s="415"/>
      <c r="W346" s="331"/>
      <c r="X346" s="320" t="str">
        <f>IF(W346=[11]Listas!$B$46,[11]Listas!$C$46,IF(W346=[11]Listas!$B$47,[11]Listas!$C$47,IF(W346=[11]Listas!$B$48,[11]Listas!$C$48,"")))</f>
        <v/>
      </c>
      <c r="Y346" s="321" t="str">
        <f>IF(OR(W346=[11]Listas!$F$53,W346=[11]Listas!$F$54),[11]Listas!$G$53,IF(W346=[11]Listas!$F$55,[11]Listas!$G$55,""))</f>
        <v/>
      </c>
      <c r="Z346" s="331"/>
      <c r="AA346" s="182" t="str">
        <f>+IF(Z346=[11]Listas!$E$46,[11]Listas!$F$46,IF(Z346=[11]Listas!$E$47,[11]Listas!$F$47,""))</f>
        <v/>
      </c>
      <c r="AB346" s="183" t="str">
        <f t="shared" si="53"/>
        <v/>
      </c>
      <c r="AC346" s="319"/>
      <c r="AD346" s="319"/>
      <c r="AE346" s="323"/>
      <c r="AF346" s="305" t="str">
        <f t="shared" si="51"/>
        <v>Muy baja</v>
      </c>
      <c r="AG346" s="145">
        <f>IF(Y346=[11]Listas!$G$53,AG345-(AG345*AB346),AG345)</f>
        <v>0.14399999999999999</v>
      </c>
      <c r="AH346" s="562"/>
      <c r="AI346" s="305" t="str">
        <f t="shared" si="49"/>
        <v>Moderado</v>
      </c>
      <c r="AJ346" s="145">
        <f>IF(Y346=[11]Listas!$G$55,AJ345-(AJ345*AB346),AJ345)</f>
        <v>0.6</v>
      </c>
      <c r="AK346" s="562"/>
      <c r="AL346" s="565"/>
      <c r="AM346" s="565"/>
      <c r="AN346" s="565"/>
      <c r="AO346" s="568"/>
      <c r="AP346" s="571"/>
      <c r="AQ346" s="343"/>
      <c r="AR346" s="191"/>
    </row>
    <row r="347" spans="2:44" ht="15.75" hidden="1" customHeight="1" x14ac:dyDescent="0.35">
      <c r="B347" s="537"/>
      <c r="C347" s="559"/>
      <c r="D347" s="610"/>
      <c r="E347" s="577"/>
      <c r="F347" s="625"/>
      <c r="G347" s="628"/>
      <c r="H347" s="628"/>
      <c r="I347" s="589"/>
      <c r="J347" s="589"/>
      <c r="K347" s="592"/>
      <c r="L347" s="589"/>
      <c r="M347" s="595"/>
      <c r="N347" s="598"/>
      <c r="O347" s="601"/>
      <c r="P347" s="595"/>
      <c r="Q347" s="604"/>
      <c r="R347" s="601"/>
      <c r="S347" s="288"/>
      <c r="T347" s="604"/>
      <c r="U347" s="142" t="s">
        <v>208</v>
      </c>
      <c r="V347" s="415"/>
      <c r="W347" s="331"/>
      <c r="X347" s="320" t="str">
        <f>IF(W347=[11]Listas!$B$46,[11]Listas!$C$46,IF(W347=[11]Listas!$B$47,[11]Listas!$C$47,IF(W347=[11]Listas!$B$48,[11]Listas!$C$48,"")))</f>
        <v/>
      </c>
      <c r="Y347" s="321" t="str">
        <f>IF(OR(W347=[11]Listas!$F$53,W347=[11]Listas!$F$54),[11]Listas!$G$53,IF(W347=[11]Listas!$F$55,[11]Listas!$G$55,""))</f>
        <v/>
      </c>
      <c r="Z347" s="331"/>
      <c r="AA347" s="182" t="str">
        <f>+IF(Z347=[11]Listas!$E$46,[11]Listas!$F$46,IF(Z347=[11]Listas!$E$47,[11]Listas!$F$47,""))</f>
        <v/>
      </c>
      <c r="AB347" s="183" t="str">
        <f t="shared" si="53"/>
        <v/>
      </c>
      <c r="AC347" s="319"/>
      <c r="AD347" s="319"/>
      <c r="AE347" s="323"/>
      <c r="AF347" s="305" t="str">
        <f t="shared" si="51"/>
        <v>Muy baja</v>
      </c>
      <c r="AG347" s="145">
        <f>IF(Y347=[11]Listas!$G$53,AG346-(AG346*AB347),AG346)</f>
        <v>0.14399999999999999</v>
      </c>
      <c r="AH347" s="562"/>
      <c r="AI347" s="305" t="str">
        <f t="shared" si="49"/>
        <v>Moderado</v>
      </c>
      <c r="AJ347" s="145">
        <f>IF(Y347=[11]Listas!$G$55,AJ346-(AJ346*AB347),AJ346)</f>
        <v>0.6</v>
      </c>
      <c r="AK347" s="562"/>
      <c r="AL347" s="565"/>
      <c r="AM347" s="565"/>
      <c r="AN347" s="565"/>
      <c r="AO347" s="568"/>
      <c r="AP347" s="571"/>
      <c r="AQ347" s="344"/>
      <c r="AR347" s="191"/>
    </row>
    <row r="348" spans="2:44" ht="15" hidden="1" customHeight="1" x14ac:dyDescent="0.35">
      <c r="B348" s="537"/>
      <c r="C348" s="559"/>
      <c r="D348" s="610"/>
      <c r="E348" s="577"/>
      <c r="F348" s="625"/>
      <c r="G348" s="628"/>
      <c r="H348" s="628"/>
      <c r="I348" s="589"/>
      <c r="J348" s="589"/>
      <c r="K348" s="592"/>
      <c r="L348" s="589"/>
      <c r="M348" s="595"/>
      <c r="N348" s="598"/>
      <c r="O348" s="601"/>
      <c r="P348" s="595"/>
      <c r="Q348" s="604"/>
      <c r="R348" s="601"/>
      <c r="S348" s="289"/>
      <c r="T348" s="604"/>
      <c r="U348" s="142" t="s">
        <v>215</v>
      </c>
      <c r="V348" s="418"/>
      <c r="W348" s="331"/>
      <c r="X348" s="320" t="str">
        <f>IF(W348=[11]Listas!$B$46,[11]Listas!$C$46,IF(W348=[11]Listas!$B$47,[11]Listas!$C$47,IF(W348=[11]Listas!$B$48,[11]Listas!$C$48,"")))</f>
        <v/>
      </c>
      <c r="Y348" s="321" t="str">
        <f>IF(OR(W348=[11]Listas!$F$53,W348=[11]Listas!$F$54),[11]Listas!$G$53,IF(W348=[11]Listas!$F$55,[11]Listas!$G$55,""))</f>
        <v/>
      </c>
      <c r="Z348" s="331"/>
      <c r="AA348" s="182" t="str">
        <f>+IF(Z348=[11]Listas!$E$46,[11]Listas!$F$46,IF(Z348=[11]Listas!$E$47,[11]Listas!$F$47,""))</f>
        <v/>
      </c>
      <c r="AB348" s="183" t="str">
        <f t="shared" si="53"/>
        <v/>
      </c>
      <c r="AC348" s="319"/>
      <c r="AD348" s="322"/>
      <c r="AE348" s="323"/>
      <c r="AF348" s="305" t="str">
        <f t="shared" si="51"/>
        <v>Muy baja</v>
      </c>
      <c r="AG348" s="145">
        <f>IF(Y348=[11]Listas!$G$53,AG347-(AG347*AB348),AG347)</f>
        <v>0.14399999999999999</v>
      </c>
      <c r="AH348" s="562"/>
      <c r="AI348" s="305" t="str">
        <f t="shared" si="49"/>
        <v>Moderado</v>
      </c>
      <c r="AJ348" s="145">
        <f>IF(Y348=[11]Listas!$G$55,AJ347-(AJ347*AB348),AJ347)</f>
        <v>0.6</v>
      </c>
      <c r="AK348" s="562"/>
      <c r="AL348" s="565"/>
      <c r="AM348" s="565"/>
      <c r="AN348" s="565"/>
      <c r="AO348" s="568"/>
      <c r="AP348" s="571"/>
      <c r="AQ348" s="345"/>
      <c r="AR348" s="191"/>
    </row>
    <row r="349" spans="2:44" ht="15" hidden="1" customHeight="1" x14ac:dyDescent="0.35">
      <c r="B349" s="537"/>
      <c r="C349" s="559"/>
      <c r="D349" s="610"/>
      <c r="E349" s="577"/>
      <c r="F349" s="625"/>
      <c r="G349" s="628"/>
      <c r="H349" s="628"/>
      <c r="I349" s="589"/>
      <c r="J349" s="589"/>
      <c r="K349" s="592"/>
      <c r="L349" s="589"/>
      <c r="M349" s="595"/>
      <c r="N349" s="598"/>
      <c r="O349" s="601"/>
      <c r="P349" s="595"/>
      <c r="Q349" s="604"/>
      <c r="R349" s="601"/>
      <c r="S349" s="289"/>
      <c r="T349" s="604"/>
      <c r="U349" s="142" t="s">
        <v>220</v>
      </c>
      <c r="V349" s="418"/>
      <c r="W349" s="331"/>
      <c r="X349" s="320" t="str">
        <f>IF(W349=[11]Listas!$B$46,[11]Listas!$C$46,IF(W349=[11]Listas!$B$47,[11]Listas!$C$47,IF(W349=[11]Listas!$B$48,[11]Listas!$C$48,"")))</f>
        <v/>
      </c>
      <c r="Y349" s="321" t="str">
        <f>IF(OR(W349=[11]Listas!$F$53,W349=[11]Listas!$F$54),[11]Listas!$G$53,IF(W349=[11]Listas!$F$55,[11]Listas!$G$55,""))</f>
        <v/>
      </c>
      <c r="Z349" s="331"/>
      <c r="AA349" s="182" t="str">
        <f>+IF(Z349=[11]Listas!$E$46,[11]Listas!$F$46,IF(Z349=[11]Listas!$E$47,[11]Listas!$F$47,""))</f>
        <v/>
      </c>
      <c r="AB349" s="183" t="str">
        <f t="shared" si="53"/>
        <v/>
      </c>
      <c r="AC349" s="319"/>
      <c r="AD349" s="322"/>
      <c r="AE349" s="323"/>
      <c r="AF349" s="305" t="str">
        <f t="shared" si="51"/>
        <v>Muy baja</v>
      </c>
      <c r="AG349" s="145">
        <f>IF(Y349=[11]Listas!$G$53,AG348-(AG348*AB349),AG348)</f>
        <v>0.14399999999999999</v>
      </c>
      <c r="AH349" s="562"/>
      <c r="AI349" s="305" t="str">
        <f t="shared" si="49"/>
        <v>Moderado</v>
      </c>
      <c r="AJ349" s="145">
        <f>IF(Y349=[11]Listas!$G$55,AJ348-(AJ348*AB349),AJ348)</f>
        <v>0.6</v>
      </c>
      <c r="AK349" s="562"/>
      <c r="AL349" s="565"/>
      <c r="AM349" s="565"/>
      <c r="AN349" s="565"/>
      <c r="AO349" s="568"/>
      <c r="AP349" s="571"/>
      <c r="AQ349" s="343"/>
      <c r="AR349" s="191"/>
    </row>
    <row r="350" spans="2:44" ht="15" hidden="1" customHeight="1" x14ac:dyDescent="0.35">
      <c r="B350" s="537"/>
      <c r="C350" s="559"/>
      <c r="D350" s="610"/>
      <c r="E350" s="577"/>
      <c r="F350" s="625"/>
      <c r="G350" s="628"/>
      <c r="H350" s="628"/>
      <c r="I350" s="589"/>
      <c r="J350" s="589"/>
      <c r="K350" s="592"/>
      <c r="L350" s="589"/>
      <c r="M350" s="595"/>
      <c r="N350" s="598"/>
      <c r="O350" s="601"/>
      <c r="P350" s="595"/>
      <c r="Q350" s="604"/>
      <c r="R350" s="601"/>
      <c r="S350" s="289"/>
      <c r="T350" s="604"/>
      <c r="U350" s="142" t="s">
        <v>223</v>
      </c>
      <c r="V350" s="418"/>
      <c r="W350" s="331"/>
      <c r="X350" s="320" t="str">
        <f>IF(W350=[11]Listas!$B$46,[11]Listas!$C$46,IF(W350=[11]Listas!$B$47,[11]Listas!$C$47,IF(W350=[11]Listas!$B$48,[11]Listas!$C$48,"")))</f>
        <v/>
      </c>
      <c r="Y350" s="321" t="str">
        <f>IF(OR(W350=[11]Listas!$F$53,W350=[11]Listas!$F$54),[11]Listas!$G$53,IF(W350=[11]Listas!$F$55,[11]Listas!$G$55,""))</f>
        <v/>
      </c>
      <c r="Z350" s="331"/>
      <c r="AA350" s="182" t="str">
        <f>+IF(Z350=[11]Listas!$E$46,[11]Listas!$F$46,IF(Z350=[11]Listas!$E$47,[11]Listas!$F$47,""))</f>
        <v/>
      </c>
      <c r="AB350" s="183" t="str">
        <f t="shared" si="53"/>
        <v/>
      </c>
      <c r="AC350" s="319"/>
      <c r="AD350" s="322"/>
      <c r="AE350" s="323"/>
      <c r="AF350" s="305" t="str">
        <f t="shared" si="51"/>
        <v>Muy baja</v>
      </c>
      <c r="AG350" s="145">
        <f>IF(Y350=[11]Listas!$G$53,AG349-(AG349*AB350),AG349)</f>
        <v>0.14399999999999999</v>
      </c>
      <c r="AH350" s="562"/>
      <c r="AI350" s="305" t="str">
        <f t="shared" si="49"/>
        <v>Moderado</v>
      </c>
      <c r="AJ350" s="145">
        <f>IF(Y350=[11]Listas!$G$55,AJ349-(AJ349*AB350),AJ349)</f>
        <v>0.6</v>
      </c>
      <c r="AK350" s="562"/>
      <c r="AL350" s="565"/>
      <c r="AM350" s="565"/>
      <c r="AN350" s="565"/>
      <c r="AO350" s="568"/>
      <c r="AP350" s="571"/>
      <c r="AQ350" s="344"/>
      <c r="AR350" s="191"/>
    </row>
    <row r="351" spans="2:44" ht="15.75" hidden="1" customHeight="1" x14ac:dyDescent="0.35">
      <c r="B351" s="537"/>
      <c r="C351" s="559"/>
      <c r="D351" s="611"/>
      <c r="E351" s="578"/>
      <c r="F351" s="626"/>
      <c r="G351" s="629"/>
      <c r="H351" s="629"/>
      <c r="I351" s="590"/>
      <c r="J351" s="590"/>
      <c r="K351" s="593"/>
      <c r="L351" s="590"/>
      <c r="M351" s="596"/>
      <c r="N351" s="599"/>
      <c r="O351" s="602"/>
      <c r="P351" s="596"/>
      <c r="Q351" s="605"/>
      <c r="R351" s="602"/>
      <c r="S351" s="293"/>
      <c r="T351" s="605"/>
      <c r="U351" s="202" t="s">
        <v>224</v>
      </c>
      <c r="V351" s="416"/>
      <c r="W351" s="335"/>
      <c r="X351" s="336" t="str">
        <f>IF(W351=[11]Listas!$B$46,[11]Listas!$C$46,IF(W351=[11]Listas!$B$47,[11]Listas!$C$47,IF(W351=[11]Listas!$B$48,[11]Listas!$C$48,"")))</f>
        <v/>
      </c>
      <c r="Y351" s="337" t="str">
        <f>IF(OR(W351=[11]Listas!$F$53,W351=[11]Listas!$F$54),[11]Listas!$G$53,IF(W351=[11]Listas!$F$55,[11]Listas!$G$55,""))</f>
        <v/>
      </c>
      <c r="Z351" s="335"/>
      <c r="AA351" s="186" t="str">
        <f>+IF(Z351=[11]Listas!$E$46,[11]Listas!$F$46,IF(Z351=[11]Listas!$E$47,[11]Listas!$F$47,""))</f>
        <v/>
      </c>
      <c r="AB351" s="187" t="str">
        <f t="shared" si="53"/>
        <v/>
      </c>
      <c r="AC351" s="338"/>
      <c r="AD351" s="339"/>
      <c r="AE351" s="340"/>
      <c r="AF351" s="311" t="str">
        <f t="shared" si="51"/>
        <v>Muy baja</v>
      </c>
      <c r="AG351" s="179">
        <f>IF(Y351=[11]Listas!$G$53,AG350-(AG350*AB351),AG350)</f>
        <v>0.14399999999999999</v>
      </c>
      <c r="AH351" s="563"/>
      <c r="AI351" s="311" t="str">
        <f t="shared" si="49"/>
        <v>Moderado</v>
      </c>
      <c r="AJ351" s="179">
        <f>IF(Y351=[11]Listas!$G$55,AJ350-(AJ350*AB351),AJ350)</f>
        <v>0.6</v>
      </c>
      <c r="AK351" s="563"/>
      <c r="AL351" s="566"/>
      <c r="AM351" s="566"/>
      <c r="AN351" s="566"/>
      <c r="AO351" s="569"/>
      <c r="AP351" s="572"/>
      <c r="AQ351" s="346"/>
      <c r="AR351" s="192"/>
    </row>
    <row r="352" spans="2:44" ht="330" customHeight="1" thickTop="1" thickBot="1" x14ac:dyDescent="0.4">
      <c r="B352" s="537"/>
      <c r="C352" s="559"/>
      <c r="D352" s="609" t="s">
        <v>533</v>
      </c>
      <c r="E352" s="576" t="s">
        <v>3</v>
      </c>
      <c r="F352" s="624" t="s">
        <v>534</v>
      </c>
      <c r="G352" s="627" t="s">
        <v>535</v>
      </c>
      <c r="H352" s="627" t="s">
        <v>536</v>
      </c>
      <c r="I352" s="588" t="s">
        <v>23</v>
      </c>
      <c r="J352" s="588" t="s">
        <v>29</v>
      </c>
      <c r="K352" s="591" t="s">
        <v>537</v>
      </c>
      <c r="L352" s="588" t="s">
        <v>186</v>
      </c>
      <c r="M352" s="594" t="s">
        <v>214</v>
      </c>
      <c r="N352" s="597" t="str">
        <f>+IF(M352="","",IF(M352=$BO$15,$BN$15,IF(M352=$BO$16,$BN$16,IF(M352=$BO$17,$BN$17,IF(M352=$BO$18,$BN$18,IF(M352=$BO$19,$BN$19))))))</f>
        <v>Media</v>
      </c>
      <c r="O352" s="600">
        <f>+IF(M352="","",IF(M352=$BO$15,$BR$15,IF(M352=$BO$16,$BR$16,IF(M352=$BO$17,$BR$17,IF(M352=$BO$18,$BR$18,IF(M352=$BO$19,$BR$19))))))</f>
        <v>0.6</v>
      </c>
      <c r="P352" s="594" t="s">
        <v>219</v>
      </c>
      <c r="Q352" s="603" t="str">
        <f>+IF(P352="","",IF(P352='[9]Mapa de Calor inherente'!$AF$6,'[9]Mapa de Calor inherente'!$AD$6,IF(P352='[9]Mapa de Calor inherente'!$AF$7,'[9]Mapa de Calor inherente'!$AD$7,IF(P352='[9]Mapa de Calor inherente'!$AF$8,'[9]Mapa de Calor inherente'!$AD$8,IF(P352='[9]Mapa de Calor inherente'!$AF$9,'[9]Mapa de Calor inherente'!$AD$9,IF(P352='[9]Mapa de Calor inherente'!$AF$10,'[9]Mapa de Calor inherente'!$AD$10,IF(P352='[9]Mapa de Calor inherente'!$AG$6,'[9]Mapa de Calor inherente'!$AD$6,IF(P352='[9]Mapa de Calor inherente'!$AG$7,'[9]Mapa de Calor inherente'!$AD$7,IF(P352='[9]Mapa de Calor inherente'!$AG$8,'[9]Mapa de Calor inherente'!$AD$8,IF(P352='[9]Mapa de Calor inherente'!$AG$9,'[9]Mapa de Calor inherente'!$AD$9,IF(P352='[9]Mapa de Calor inherente'!$AG$10,'[9]Mapa de Calor inherente'!$AD$10,IF(P352='[9]Mapa de Calor inherente'!$AD$8,'[9]Mapa de Calor inherente'!$AD$8,IF(P352='[9]Mapa de Calor inherente'!$AD$9,'[9]Mapa de Calor inherente'!$AD$9,IF(P352='[9]Mapa de Calor inherente'!$AD$10,'[9]Mapa de Calor inherente'!$AD$10))))))))))))))</f>
        <v>Mayor</v>
      </c>
      <c r="R352" s="600">
        <f>+IF(P352="","",IF(P352='[11]Mapa de Calor inherente'!$AF$6,'[11]Mapa de Calor inherente'!$AE$6,IF(P352='[11]Mapa de Calor inherente'!$AF$7,'[11]Mapa de Calor inherente'!$AE$7,IF(P352='[11]Mapa de Calor inherente'!$AF$8,'[11]Mapa de Calor inherente'!$AE$8,IF(P352='[11]Mapa de Calor inherente'!$AF$9,'[11]Mapa de Calor inherente'!$AE$9,IF(P352='[11]Mapa de Calor inherente'!$AF$10,'[11]Mapa de Calor inherente'!$AE$10,IF(P352='[11]Mapa de Calor inherente'!$AG$6,'[11]Mapa de Calor inherente'!$AE$6,IF(P352='[11]Mapa de Calor inherente'!$AG$7,'[11]Mapa de Calor inherente'!$AE$7,IF(P352='[11]Mapa de Calor inherente'!$AG$8,'[11]Mapa de Calor inherente'!$AE$8,IF(P352='[11]Mapa de Calor inherente'!$AG$9,'[11]Mapa de Calor inherente'!$AE$9,IF(P352='[11]Mapa de Calor inherente'!$AG$10,'[11]Mapa de Calor inherente'!$AE$10,IF(P352='[11]Mapa de Calor inherente'!$AD$8,'[11]Mapa de Calor inherente'!$AE$8,IF(P352='[11]Mapa de Calor inherente'!$AD$9,'[11]Mapa de Calor inherente'!$AE$9,IF(P352='[11]Mapa de Calor inherente'!$AD$10,'[11]Mapa de Calor inherente'!$AE$10))))))))))))))</f>
        <v>0.8</v>
      </c>
      <c r="S352" s="292"/>
      <c r="T352" s="603" t="str">
        <f>+IF(N352=$BB$17,IF(Q352=$BC$16,$BC$17,IF(Q352=$BD$16,$BD$17,IF(Q352=$BE$16,$BE$17,IF(Q352=$BF$16,$BF$17,IF(Q352=$BG$16,$BG$17))))),IF(N352=$BB$18,IF(Q352=$BC$16,$BC$18,IF(Q352=$BD$16,$BD$18,IF(Q352=$BE$16,$BE$18,IF(Q352=$BF$16,$BF$18,IF(Q352=$BG$16,$BG$18))))),IF(N352=$BB$19,IF(Q352=$BC$16,$BC$19,IF(Q352=$BD$16,$BD$19,IF(Q352=$BE$16,$BE$19,IF(Q352=$BF$16,$BF$19,IF(Q352=$BG$16,$BG$19))))),IF(N352=$BB$20,IF(Q352=$BC$16,$BC$20,IF(Q352=$BD$16,$BD$20,IF(Q352=$BE$16,$BE$20,IF(Q352=$BF$16,$BF$20,IF(Q352=$BG$16,$BG$20))))),IF(N352=$BB$21,IF(Q352=$BC$16,$BC$21,IF(Q352=$BD$16,$BD$21,IF(Q352=$BE$16,$BE$21,IF(Q352=$BF$16,$BF$21,IF(Q352=$BG$16,$BG$21))))),"")))))</f>
        <v>Alto</v>
      </c>
      <c r="U352" s="139" t="s">
        <v>171</v>
      </c>
      <c r="V352" s="463" t="s">
        <v>538</v>
      </c>
      <c r="W352" s="313" t="s">
        <v>40</v>
      </c>
      <c r="X352" s="314">
        <f>IF(W352=[11]Listas!$B$46,[11]Listas!$C$46,IF(W352=[11]Listas!$B$47,[11]Listas!$C$47,IF(W352=[11]Listas!$B$48,[11]Listas!$C$48,"")))</f>
        <v>0.25</v>
      </c>
      <c r="Y352" s="315" t="str">
        <f>IF(OR(W352=[11]Listas!$F$53,W352=[11]Listas!$F$54),[11]Listas!$G$53,IF(W352=[11]Listas!$F$55,[11]Listas!$G$55,""))</f>
        <v>Probabilidad</v>
      </c>
      <c r="Z352" s="313" t="s">
        <v>43</v>
      </c>
      <c r="AA352" s="314">
        <f>+IF(Z352=[11]Listas!$E$46,[11]Listas!$F$46,IF(Z352=[11]Listas!$E$47,[11]Listas!$F$47,""))</f>
        <v>0.15</v>
      </c>
      <c r="AB352" s="181">
        <f>IFERROR(X352+AA352,"")</f>
        <v>0.4</v>
      </c>
      <c r="AC352" s="313" t="s">
        <v>57</v>
      </c>
      <c r="AD352" s="316" t="s">
        <v>58</v>
      </c>
      <c r="AE352" s="317" t="s">
        <v>59</v>
      </c>
      <c r="AF352" s="299" t="str">
        <f t="shared" si="51"/>
        <v>Baja</v>
      </c>
      <c r="AG352" s="141">
        <f>IF(Y352=[11]Listas!$G$53,O352-(O352*AB352),O352)</f>
        <v>0.36</v>
      </c>
      <c r="AH352" s="561">
        <f>+IF(AG361="","",AG361)</f>
        <v>0.12959999999999999</v>
      </c>
      <c r="AI352" s="299" t="str">
        <f>IF(AJ352="","",IF(AJ352&lt;=20%,"Leve",IF(AJ352&lt;=40%,"Menor",IF(AJ352&lt;=60%,"Moderado",IF(AJ352&lt;=80%,"Mayor","Catastrófico")))))</f>
        <v>Mayor</v>
      </c>
      <c r="AJ352" s="141">
        <f>IF(Y352=[11]Listas!$G$55,R352-(R352*AB352),R352)</f>
        <v>0.8</v>
      </c>
      <c r="AK352" s="561">
        <f>+IF(AJ361="","",AJ361)</f>
        <v>0.8</v>
      </c>
      <c r="AL352" s="564" t="str">
        <f>+IF(AH352=0,"",IF(AH352&lt;=$BA$21,$BB$21,IF(AH352&lt;=$BA$20,$BB$20,IF(AH352&lt;=$BA$19,$BB$19,IF(AH352&lt;=$BA$18,$BB$18,IF(AH352&lt;=$BA$17,$BB$17,""))))))</f>
        <v>Muy Baja</v>
      </c>
      <c r="AM352" s="564" t="str">
        <f>+IF(AK352=0,"",IF(AK352&lt;=$BC$15,$BC$16,IF(AK352&lt;=$BD$15,$BD$16,IF(AK352&lt;=$BE$15,$BE$16,IF(AK352&lt;=$BF$15,$BF$16,IF(AK352&lt;=$BG$15,$BG$16,""))))))</f>
        <v>Mayor</v>
      </c>
      <c r="AN352" s="564" t="str">
        <f>IF(AL352=$BB$17,IF(AM352=$BC$16,$BC$17,IF(AM352=$BD$16,$BD$17,IF(AM352=$BE$16,$BE$17,IF(AM352=$BF$16,$BF$17,IF(AM352=$BG$16,$BG$17))))),IF(AL352=$BB$18,IF(AM352=$BC$16,$BC$18,IF(AM352=$BD$16,$BD$18,IF(AM352=$BE$16,$BE$18,IF(AM352=$BF$16,$BF$18,IF(AM352=$BG$16,$BG$18))))),IF(AL352=$BB$19,IF(AM352=$BC$16,$BC$19,IF(AM352=$BD$16,$BD$19,IF(AM352=$BE$16,$BE$19,IF(AM352=$BF$16,$BF$19,IF(AM352=$BG$16,$BG$19))))),IF(AL352=$BB$20,IF(AM352=$BC$16,$BC$20,IF(AM352=$BD$16,$BD$20,IF(AM352=$BE$16,$BE$20,IF(AM352=$BF$16,$BF$20,IF(AM352=$BG$16,$BG$20))))),IF(AL352=$BB$21,IF(AM352=$BC$16,$BC$21,IF(AM352=$BD$16,$BD$21,IF(AM352=$BE$16,$BE$21,IF(AM352=$BF$16,$BF$21,IF(AM352=$BG$16,$BG$21))))),"")))))</f>
        <v>Alto</v>
      </c>
      <c r="AO352" s="567" t="str">
        <f>IF(AP352="","",IF(AP352=[11]Listas!$F$61,[11]Listas!$G$61,IF(AP352=[11]Listas!$F$63,[11]Listas!$G$63,IF(AP352=[11]Listas!$F$64,[11]Listas!$G$64))))</f>
        <v>Requiere Plan de Acción</v>
      </c>
      <c r="AP352" s="570" t="str">
        <f>IF(AN352="","",IF(OR(AN352=[11]Listas!$E$61,AN352=[11]Listas!$E$62),[11]Listas!$F$61,IF(AN352=[11]Listas!$E$63,[11]Listas!$F$63,IF(AN352=[11]Listas!$E$64,[11]Listas!$F$64))))</f>
        <v>Reducir, evitar, compartir o transferir el riesgo</v>
      </c>
      <c r="AQ352" s="342" t="s">
        <v>80</v>
      </c>
      <c r="AR352" s="116" t="s">
        <v>539</v>
      </c>
    </row>
    <row r="353" spans="2:70" ht="90" customHeight="1" thickTop="1" thickBot="1" x14ac:dyDescent="0.4">
      <c r="B353" s="537"/>
      <c r="C353" s="559"/>
      <c r="D353" s="610"/>
      <c r="E353" s="577"/>
      <c r="F353" s="625"/>
      <c r="G353" s="628"/>
      <c r="H353" s="628"/>
      <c r="I353" s="589"/>
      <c r="J353" s="589"/>
      <c r="K353" s="592"/>
      <c r="L353" s="589"/>
      <c r="M353" s="595"/>
      <c r="N353" s="598"/>
      <c r="O353" s="601"/>
      <c r="P353" s="595"/>
      <c r="Q353" s="604"/>
      <c r="R353" s="601"/>
      <c r="S353" s="286"/>
      <c r="T353" s="604"/>
      <c r="U353" s="142" t="s">
        <v>174</v>
      </c>
      <c r="V353" s="464" t="s">
        <v>540</v>
      </c>
      <c r="W353" s="319" t="s">
        <v>40</v>
      </c>
      <c r="X353" s="320">
        <f>IF(W353=[11]Listas!$B$46,[11]Listas!$C$46,IF(W353=[11]Listas!$B$47,[11]Listas!$C$47,IF(W353=[11]Listas!$B$48,[11]Listas!$C$48,"")))</f>
        <v>0.25</v>
      </c>
      <c r="Y353" s="321" t="str">
        <f>IF(OR(W353=[11]Listas!$F$53,W353=[11]Listas!$F$54),[11]Listas!$G$53,IF(W353=[11]Listas!$F$55,[11]Listas!$G$55,""))</f>
        <v>Probabilidad</v>
      </c>
      <c r="Z353" s="319" t="s">
        <v>43</v>
      </c>
      <c r="AA353" s="182">
        <f>+IF(Z353=[11]Listas!$E$46,[11]Listas!$F$46,IF(Z353=[11]Listas!$E$47,[11]Listas!$F$47,""))</f>
        <v>0.15</v>
      </c>
      <c r="AB353" s="183">
        <f>IFERROR(X353+AA353,"")</f>
        <v>0.4</v>
      </c>
      <c r="AC353" s="319" t="s">
        <v>64</v>
      </c>
      <c r="AD353" s="322" t="s">
        <v>58</v>
      </c>
      <c r="AE353" s="323" t="s">
        <v>59</v>
      </c>
      <c r="AF353" s="305" t="str">
        <f t="shared" si="51"/>
        <v>Baja</v>
      </c>
      <c r="AG353" s="145">
        <f>IF(Y353=[11]Listas!$G$53,AG352-(AG352*AB353),AG352)</f>
        <v>0.216</v>
      </c>
      <c r="AH353" s="562"/>
      <c r="AI353" s="305" t="str">
        <f t="shared" si="49"/>
        <v>Mayor</v>
      </c>
      <c r="AJ353" s="145">
        <f>IF(Y353=[11]Listas!$G$55,AJ352-(AJ352*AB353),AJ352)</f>
        <v>0.8</v>
      </c>
      <c r="AK353" s="562"/>
      <c r="AL353" s="565"/>
      <c r="AM353" s="565"/>
      <c r="AN353" s="565"/>
      <c r="AO353" s="568"/>
      <c r="AP353" s="571"/>
      <c r="AQ353" s="344" t="s">
        <v>80</v>
      </c>
      <c r="AR353" s="117" t="s">
        <v>541</v>
      </c>
    </row>
    <row r="354" spans="2:70" ht="57" customHeight="1" thickTop="1" thickBot="1" x14ac:dyDescent="0.4">
      <c r="B354" s="537"/>
      <c r="C354" s="559"/>
      <c r="D354" s="610"/>
      <c r="E354" s="577"/>
      <c r="F354" s="625"/>
      <c r="G354" s="628"/>
      <c r="H354" s="628"/>
      <c r="I354" s="589"/>
      <c r="J354" s="589"/>
      <c r="K354" s="592"/>
      <c r="L354" s="589"/>
      <c r="M354" s="595"/>
      <c r="N354" s="598"/>
      <c r="O354" s="601"/>
      <c r="P354" s="595"/>
      <c r="Q354" s="604"/>
      <c r="R354" s="601"/>
      <c r="S354" s="287"/>
      <c r="T354" s="604"/>
      <c r="U354" s="142" t="s">
        <v>180</v>
      </c>
      <c r="V354" s="415" t="s">
        <v>542</v>
      </c>
      <c r="W354" s="319" t="s">
        <v>40</v>
      </c>
      <c r="X354" s="320">
        <f>IF(W354=[11]Listas!$B$46,[11]Listas!$C$46,IF(W354=[11]Listas!$B$47,[11]Listas!$C$47,IF(W354=[11]Listas!$B$48,[11]Listas!$C$48,"")))</f>
        <v>0.25</v>
      </c>
      <c r="Y354" s="321" t="str">
        <f>IF(OR(W354=[11]Listas!$F$53,W354=[11]Listas!$F$54),[11]Listas!$G$53,IF(W354=[11]Listas!$F$55,[11]Listas!$G$55,""))</f>
        <v>Probabilidad</v>
      </c>
      <c r="Z354" s="319" t="s">
        <v>43</v>
      </c>
      <c r="AA354" s="182">
        <f>+IF(Z354=[11]Listas!$E$46,[11]Listas!$F$46,IF(Z354=[11]Listas!$E$47,[11]Listas!$F$47,""))</f>
        <v>0.15</v>
      </c>
      <c r="AB354" s="183">
        <f>IFERROR(X354+AA354,"")</f>
        <v>0.4</v>
      </c>
      <c r="AC354" s="319" t="s">
        <v>64</v>
      </c>
      <c r="AD354" s="322" t="s">
        <v>58</v>
      </c>
      <c r="AE354" s="323" t="s">
        <v>59</v>
      </c>
      <c r="AF354" s="305" t="str">
        <f t="shared" si="51"/>
        <v>Muy baja</v>
      </c>
      <c r="AG354" s="145">
        <f>IF(Y354=[11]Listas!$G$53,AG353-(AG353*AB354),AG353)</f>
        <v>0.12959999999999999</v>
      </c>
      <c r="AH354" s="562"/>
      <c r="AI354" s="305" t="str">
        <f t="shared" si="49"/>
        <v>Mayor</v>
      </c>
      <c r="AJ354" s="145">
        <f>IF(Y354=[11]Listas!$G$55,AJ353-(AJ353*AB354),AJ353)</f>
        <v>0.8</v>
      </c>
      <c r="AK354" s="562"/>
      <c r="AL354" s="565"/>
      <c r="AM354" s="565"/>
      <c r="AN354" s="565"/>
      <c r="AO354" s="568"/>
      <c r="AP354" s="571"/>
      <c r="AQ354" s="344" t="s">
        <v>90</v>
      </c>
      <c r="AR354" s="180" t="s">
        <v>543</v>
      </c>
    </row>
    <row r="355" spans="2:70" ht="15.65" hidden="1" customHeight="1" x14ac:dyDescent="0.35">
      <c r="B355" s="537"/>
      <c r="C355" s="559"/>
      <c r="D355" s="610"/>
      <c r="E355" s="577"/>
      <c r="F355" s="625"/>
      <c r="G355" s="628"/>
      <c r="H355" s="628"/>
      <c r="I355" s="589"/>
      <c r="J355" s="589"/>
      <c r="K355" s="592"/>
      <c r="L355" s="589"/>
      <c r="M355" s="595"/>
      <c r="N355" s="598"/>
      <c r="O355" s="601"/>
      <c r="P355" s="595"/>
      <c r="Q355" s="604"/>
      <c r="R355" s="601"/>
      <c r="S355" s="287"/>
      <c r="T355" s="604"/>
      <c r="U355" s="142" t="s">
        <v>190</v>
      </c>
      <c r="V355" s="415"/>
      <c r="W355" s="319"/>
      <c r="X355" s="320" t="str">
        <f>IF(W355=[11]Listas!$B$46,[11]Listas!$C$46,IF(W355=[11]Listas!$B$47,[11]Listas!$C$47,IF(W355=[11]Listas!$B$48,[11]Listas!$C$48,"")))</f>
        <v/>
      </c>
      <c r="Y355" s="321" t="str">
        <f>IF(OR(W355=[11]Listas!$F$53,W355=[11]Listas!$F$54),[11]Listas!$G$53,IF(W355=[11]Listas!$F$55,[11]Listas!$G$55,""))</f>
        <v/>
      </c>
      <c r="Z355" s="319"/>
      <c r="AA355" s="182" t="str">
        <f>+IF(Z355=[11]Listas!$E$46,[11]Listas!$F$46,IF(Z355=[11]Listas!$E$47,[11]Listas!$F$47,""))</f>
        <v/>
      </c>
      <c r="AB355" s="183" t="str">
        <f t="shared" ref="AB355:AB361" si="54">IFERROR(X355+AA355,"")</f>
        <v/>
      </c>
      <c r="AC355" s="319"/>
      <c r="AD355" s="322"/>
      <c r="AE355" s="323"/>
      <c r="AF355" s="305" t="str">
        <f t="shared" si="51"/>
        <v>Muy baja</v>
      </c>
      <c r="AG355" s="145">
        <f>IF(Y355=[11]Listas!$G$53,AG354-(AG354*AB355),AG354)</f>
        <v>0.12959999999999999</v>
      </c>
      <c r="AH355" s="562"/>
      <c r="AI355" s="305" t="str">
        <f t="shared" si="49"/>
        <v>Mayor</v>
      </c>
      <c r="AJ355" s="145">
        <f>IF(Y355=[11]Listas!$G$55,AJ354-(AJ354*AB355),AJ354)</f>
        <v>0.8</v>
      </c>
      <c r="AK355" s="562"/>
      <c r="AL355" s="565"/>
      <c r="AM355" s="565"/>
      <c r="AN355" s="565"/>
      <c r="AO355" s="568"/>
      <c r="AP355" s="571"/>
      <c r="AQ355" s="344"/>
      <c r="AR355" s="191"/>
    </row>
    <row r="356" spans="2:70" ht="15.65" hidden="1" customHeight="1" x14ac:dyDescent="0.35">
      <c r="B356" s="537"/>
      <c r="C356" s="559"/>
      <c r="D356" s="610"/>
      <c r="E356" s="577"/>
      <c r="F356" s="625"/>
      <c r="G356" s="628"/>
      <c r="H356" s="628"/>
      <c r="I356" s="589"/>
      <c r="J356" s="589"/>
      <c r="K356" s="592"/>
      <c r="L356" s="589"/>
      <c r="M356" s="595"/>
      <c r="N356" s="598"/>
      <c r="O356" s="601"/>
      <c r="P356" s="595"/>
      <c r="Q356" s="604"/>
      <c r="R356" s="601"/>
      <c r="S356" s="287"/>
      <c r="T356" s="604"/>
      <c r="U356" s="142" t="s">
        <v>198</v>
      </c>
      <c r="V356" s="415"/>
      <c r="W356" s="319"/>
      <c r="X356" s="320" t="str">
        <f>IF(W356=[11]Listas!$B$46,[11]Listas!$C$46,IF(W356=[11]Listas!$B$47,[11]Listas!$C$47,IF(W356=[11]Listas!$B$48,[11]Listas!$C$48,"")))</f>
        <v/>
      </c>
      <c r="Y356" s="321" t="str">
        <f>IF(OR(W356=[11]Listas!$F$53,W356=[11]Listas!$F$54),[11]Listas!$G$53,IF(W356=[11]Listas!$F$55,[11]Listas!$G$55,""))</f>
        <v/>
      </c>
      <c r="Z356" s="319"/>
      <c r="AA356" s="182" t="str">
        <f>+IF(Z356=[11]Listas!$E$46,[11]Listas!$F$46,IF(Z356=[11]Listas!$E$47,[11]Listas!$F$47,""))</f>
        <v/>
      </c>
      <c r="AB356" s="183" t="str">
        <f t="shared" si="54"/>
        <v/>
      </c>
      <c r="AC356" s="319"/>
      <c r="AD356" s="322"/>
      <c r="AE356" s="323"/>
      <c r="AF356" s="305" t="str">
        <f t="shared" si="51"/>
        <v>Muy baja</v>
      </c>
      <c r="AG356" s="145">
        <f>IF(Y356=[11]Listas!$G$53,AG355-(AG355*AB356),AG355)</f>
        <v>0.12959999999999999</v>
      </c>
      <c r="AH356" s="562"/>
      <c r="AI356" s="305" t="str">
        <f t="shared" si="49"/>
        <v>Mayor</v>
      </c>
      <c r="AJ356" s="145">
        <f>IF(Y356=[11]Listas!$G$55,AJ355-(AJ355*AB356),AJ355)</f>
        <v>0.8</v>
      </c>
      <c r="AK356" s="562"/>
      <c r="AL356" s="565"/>
      <c r="AM356" s="565"/>
      <c r="AN356" s="565"/>
      <c r="AO356" s="568"/>
      <c r="AP356" s="571"/>
      <c r="AQ356" s="344"/>
      <c r="AR356" s="191"/>
    </row>
    <row r="357" spans="2:70" ht="16" hidden="1" customHeight="1" x14ac:dyDescent="0.35">
      <c r="B357" s="537"/>
      <c r="C357" s="559"/>
      <c r="D357" s="610"/>
      <c r="E357" s="577"/>
      <c r="F357" s="625"/>
      <c r="G357" s="628"/>
      <c r="H357" s="628"/>
      <c r="I357" s="589"/>
      <c r="J357" s="589"/>
      <c r="K357" s="592"/>
      <c r="L357" s="589"/>
      <c r="M357" s="595"/>
      <c r="N357" s="598"/>
      <c r="O357" s="601"/>
      <c r="P357" s="595"/>
      <c r="Q357" s="604"/>
      <c r="R357" s="601"/>
      <c r="S357" s="288"/>
      <c r="T357" s="604"/>
      <c r="U357" s="142" t="s">
        <v>208</v>
      </c>
      <c r="V357" s="415"/>
      <c r="W357" s="319"/>
      <c r="X357" s="320" t="str">
        <f>IF(W357=[11]Listas!$B$46,[11]Listas!$C$46,IF(W357=[11]Listas!$B$47,[11]Listas!$C$47,IF(W357=[11]Listas!$B$48,[11]Listas!$C$48,"")))</f>
        <v/>
      </c>
      <c r="Y357" s="321" t="str">
        <f>IF(OR(W357=[11]Listas!$F$53,W357=[11]Listas!$F$54),[11]Listas!$G$53,IF(W357=[11]Listas!$F$55,[11]Listas!$G$55,""))</f>
        <v/>
      </c>
      <c r="Z357" s="319"/>
      <c r="AA357" s="182" t="str">
        <f>+IF(Z357=[11]Listas!$E$46,[11]Listas!$F$46,IF(Z357=[11]Listas!$E$47,[11]Listas!$F$47,""))</f>
        <v/>
      </c>
      <c r="AB357" s="183" t="str">
        <f t="shared" si="54"/>
        <v/>
      </c>
      <c r="AC357" s="319"/>
      <c r="AD357" s="322"/>
      <c r="AE357" s="323"/>
      <c r="AF357" s="305" t="str">
        <f t="shared" si="51"/>
        <v>Muy baja</v>
      </c>
      <c r="AG357" s="145">
        <f>IF(Y357=[11]Listas!$G$53,AG356-(AG356*AB357),AG356)</f>
        <v>0.12959999999999999</v>
      </c>
      <c r="AH357" s="562"/>
      <c r="AI357" s="305" t="str">
        <f t="shared" si="49"/>
        <v>Mayor</v>
      </c>
      <c r="AJ357" s="145">
        <f>IF(Y357=[11]Listas!$G$55,AJ356-(AJ356*AB357),AJ356)</f>
        <v>0.8</v>
      </c>
      <c r="AK357" s="562"/>
      <c r="AL357" s="565"/>
      <c r="AM357" s="565"/>
      <c r="AN357" s="565"/>
      <c r="AO357" s="568"/>
      <c r="AP357" s="571"/>
      <c r="AQ357" s="344"/>
      <c r="AR357" s="191"/>
    </row>
    <row r="358" spans="2:70" ht="15.65" hidden="1" customHeight="1" x14ac:dyDescent="0.35">
      <c r="B358" s="537"/>
      <c r="C358" s="559"/>
      <c r="D358" s="610"/>
      <c r="E358" s="577"/>
      <c r="F358" s="625"/>
      <c r="G358" s="628"/>
      <c r="H358" s="628"/>
      <c r="I358" s="589"/>
      <c r="J358" s="589"/>
      <c r="K358" s="592"/>
      <c r="L358" s="589"/>
      <c r="M358" s="595"/>
      <c r="N358" s="598"/>
      <c r="O358" s="601"/>
      <c r="P358" s="595"/>
      <c r="Q358" s="604"/>
      <c r="R358" s="601"/>
      <c r="S358" s="289"/>
      <c r="T358" s="604"/>
      <c r="U358" s="142" t="s">
        <v>215</v>
      </c>
      <c r="V358" s="418"/>
      <c r="W358" s="331"/>
      <c r="X358" s="320" t="str">
        <f>IF(W358=[11]Listas!$B$46,[11]Listas!$C$46,IF(W358=[11]Listas!$B$47,[11]Listas!$C$47,IF(W358=[11]Listas!$B$48,[11]Listas!$C$48,"")))</f>
        <v/>
      </c>
      <c r="Y358" s="321" t="str">
        <f>IF(OR(W358=[11]Listas!$F$53,W358=[11]Listas!$F$54),[11]Listas!$G$53,IF(W358=[11]Listas!$F$55,[11]Listas!$G$55,""))</f>
        <v/>
      </c>
      <c r="Z358" s="331"/>
      <c r="AA358" s="182" t="str">
        <f>+IF(Z358=[11]Listas!$E$46,[11]Listas!$F$46,IF(Z358=[11]Listas!$E$47,[11]Listas!$F$47,""))</f>
        <v/>
      </c>
      <c r="AB358" s="183" t="str">
        <f t="shared" si="54"/>
        <v/>
      </c>
      <c r="AC358" s="319"/>
      <c r="AD358" s="322"/>
      <c r="AE358" s="323"/>
      <c r="AF358" s="305" t="str">
        <f t="shared" si="51"/>
        <v>Muy baja</v>
      </c>
      <c r="AG358" s="145">
        <f>IF(Y358=[11]Listas!$G$53,AG357-(AG357*AB358),AG357)</f>
        <v>0.12959999999999999</v>
      </c>
      <c r="AH358" s="562"/>
      <c r="AI358" s="305" t="str">
        <f t="shared" si="49"/>
        <v>Mayor</v>
      </c>
      <c r="AJ358" s="145">
        <f>IF(Y358=[11]Listas!$G$55,AJ357-(AJ357*AB358),AJ357)</f>
        <v>0.8</v>
      </c>
      <c r="AK358" s="562"/>
      <c r="AL358" s="565"/>
      <c r="AM358" s="565"/>
      <c r="AN358" s="565"/>
      <c r="AO358" s="568"/>
      <c r="AP358" s="571"/>
      <c r="AQ358" s="344"/>
      <c r="AR358" s="191"/>
    </row>
    <row r="359" spans="2:70" ht="15.65" hidden="1" customHeight="1" x14ac:dyDescent="0.35">
      <c r="B359" s="537"/>
      <c r="C359" s="559"/>
      <c r="D359" s="610"/>
      <c r="E359" s="577"/>
      <c r="F359" s="625"/>
      <c r="G359" s="628"/>
      <c r="H359" s="628"/>
      <c r="I359" s="589"/>
      <c r="J359" s="589"/>
      <c r="K359" s="592"/>
      <c r="L359" s="589"/>
      <c r="M359" s="595"/>
      <c r="N359" s="598"/>
      <c r="O359" s="601"/>
      <c r="P359" s="595"/>
      <c r="Q359" s="604"/>
      <c r="R359" s="601"/>
      <c r="S359" s="289"/>
      <c r="T359" s="604"/>
      <c r="U359" s="142" t="s">
        <v>220</v>
      </c>
      <c r="V359" s="418"/>
      <c r="W359" s="331"/>
      <c r="X359" s="320" t="str">
        <f>IF(W359=[11]Listas!$B$46,[11]Listas!$C$46,IF(W359=[11]Listas!$B$47,[11]Listas!$C$47,IF(W359=[11]Listas!$B$48,[11]Listas!$C$48,"")))</f>
        <v/>
      </c>
      <c r="Y359" s="321" t="str">
        <f>IF(OR(W359=[11]Listas!$F$53,W359=[11]Listas!$F$54),[11]Listas!$G$53,IF(W359=[11]Listas!$F$55,[11]Listas!$G$55,""))</f>
        <v/>
      </c>
      <c r="Z359" s="331"/>
      <c r="AA359" s="182" t="str">
        <f>+IF(Z359=[11]Listas!$E$46,[11]Listas!$F$46,IF(Z359=[11]Listas!$E$47,[11]Listas!$F$47,""))</f>
        <v/>
      </c>
      <c r="AB359" s="183" t="str">
        <f t="shared" si="54"/>
        <v/>
      </c>
      <c r="AC359" s="319"/>
      <c r="AD359" s="322"/>
      <c r="AE359" s="323"/>
      <c r="AF359" s="305" t="str">
        <f t="shared" si="51"/>
        <v>Muy baja</v>
      </c>
      <c r="AG359" s="145">
        <f>IF(Y359=[11]Listas!$G$53,AG358-(AG358*AB359),AG358)</f>
        <v>0.12959999999999999</v>
      </c>
      <c r="AH359" s="562"/>
      <c r="AI359" s="305" t="str">
        <f t="shared" si="49"/>
        <v>Mayor</v>
      </c>
      <c r="AJ359" s="145">
        <f>IF(Y359=[11]Listas!$G$55,AJ358-(AJ358*AB359),AJ358)</f>
        <v>0.8</v>
      </c>
      <c r="AK359" s="562"/>
      <c r="AL359" s="565"/>
      <c r="AM359" s="565"/>
      <c r="AN359" s="565"/>
      <c r="AO359" s="568"/>
      <c r="AP359" s="571"/>
      <c r="AQ359" s="344"/>
      <c r="AR359" s="191"/>
    </row>
    <row r="360" spans="2:70" ht="15.65" hidden="1" customHeight="1" x14ac:dyDescent="0.35">
      <c r="B360" s="537"/>
      <c r="C360" s="559"/>
      <c r="D360" s="610"/>
      <c r="E360" s="577"/>
      <c r="F360" s="625"/>
      <c r="G360" s="628"/>
      <c r="H360" s="628"/>
      <c r="I360" s="589"/>
      <c r="J360" s="589"/>
      <c r="K360" s="592"/>
      <c r="L360" s="589"/>
      <c r="M360" s="595"/>
      <c r="N360" s="598"/>
      <c r="O360" s="601"/>
      <c r="P360" s="595"/>
      <c r="Q360" s="604"/>
      <c r="R360" s="601"/>
      <c r="S360" s="289"/>
      <c r="T360" s="604"/>
      <c r="U360" s="142" t="s">
        <v>223</v>
      </c>
      <c r="V360" s="418"/>
      <c r="W360" s="331"/>
      <c r="X360" s="320" t="str">
        <f>IF(W360=[11]Listas!$B$46,[11]Listas!$C$46,IF(W360=[11]Listas!$B$47,[11]Listas!$C$47,IF(W360=[11]Listas!$B$48,[11]Listas!$C$48,"")))</f>
        <v/>
      </c>
      <c r="Y360" s="321" t="str">
        <f>IF(OR(W360=[11]Listas!$F$53,W360=[11]Listas!$F$54),[11]Listas!$G$53,IF(W360=[11]Listas!$F$55,[11]Listas!$G$55,""))</f>
        <v/>
      </c>
      <c r="Z360" s="331"/>
      <c r="AA360" s="182" t="str">
        <f>+IF(Z360=[11]Listas!$E$46,[11]Listas!$F$46,IF(Z360=[11]Listas!$E$47,[11]Listas!$F$47,""))</f>
        <v/>
      </c>
      <c r="AB360" s="183" t="str">
        <f t="shared" si="54"/>
        <v/>
      </c>
      <c r="AC360" s="319"/>
      <c r="AD360" s="322"/>
      <c r="AE360" s="323"/>
      <c r="AF360" s="305" t="str">
        <f t="shared" si="51"/>
        <v>Muy baja</v>
      </c>
      <c r="AG360" s="145">
        <f>IF(Y360=[11]Listas!$G$53,AG359-(AG359*AB360),AG359)</f>
        <v>0.12959999999999999</v>
      </c>
      <c r="AH360" s="562"/>
      <c r="AI360" s="305" t="str">
        <f t="shared" si="49"/>
        <v>Mayor</v>
      </c>
      <c r="AJ360" s="145">
        <f>IF(Y360=[11]Listas!$G$55,AJ359-(AJ359*AB360),AJ359)</f>
        <v>0.8</v>
      </c>
      <c r="AK360" s="562"/>
      <c r="AL360" s="565"/>
      <c r="AM360" s="565"/>
      <c r="AN360" s="565"/>
      <c r="AO360" s="568"/>
      <c r="AP360" s="571"/>
      <c r="AQ360" s="344"/>
      <c r="AR360" s="191"/>
    </row>
    <row r="361" spans="2:70" ht="16" hidden="1" customHeight="1" x14ac:dyDescent="0.35">
      <c r="B361" s="537"/>
      <c r="C361" s="559"/>
      <c r="D361" s="611"/>
      <c r="E361" s="578"/>
      <c r="F361" s="626"/>
      <c r="G361" s="629"/>
      <c r="H361" s="629"/>
      <c r="I361" s="590"/>
      <c r="J361" s="590"/>
      <c r="K361" s="593"/>
      <c r="L361" s="590"/>
      <c r="M361" s="596"/>
      <c r="N361" s="599"/>
      <c r="O361" s="602"/>
      <c r="P361" s="596"/>
      <c r="Q361" s="605"/>
      <c r="R361" s="602"/>
      <c r="S361" s="293"/>
      <c r="T361" s="605"/>
      <c r="U361" s="202" t="s">
        <v>224</v>
      </c>
      <c r="V361" s="416"/>
      <c r="W361" s="335"/>
      <c r="X361" s="336" t="str">
        <f>IF(W361=[11]Listas!$B$46,[11]Listas!$C$46,IF(W361=[11]Listas!$B$47,[11]Listas!$C$47,IF(W361=[11]Listas!$B$48,[11]Listas!$C$48,"")))</f>
        <v/>
      </c>
      <c r="Y361" s="337" t="str">
        <f>IF(OR(W361=[11]Listas!$F$53,W361=[11]Listas!$F$54),[11]Listas!$G$53,IF(W361=[11]Listas!$F$55,[11]Listas!$G$55,""))</f>
        <v/>
      </c>
      <c r="Z361" s="335"/>
      <c r="AA361" s="186" t="str">
        <f>+IF(Z361=[11]Listas!$E$46,[11]Listas!$F$46,IF(Z361=[11]Listas!$E$47,[11]Listas!$F$47,""))</f>
        <v/>
      </c>
      <c r="AB361" s="187" t="str">
        <f t="shared" si="54"/>
        <v/>
      </c>
      <c r="AC361" s="338"/>
      <c r="AD361" s="339"/>
      <c r="AE361" s="340"/>
      <c r="AF361" s="311" t="str">
        <f t="shared" si="51"/>
        <v>Muy baja</v>
      </c>
      <c r="AG361" s="179">
        <f>IF(Y361=[11]Listas!$G$53,AG360-(AG360*AB361),AG360)</f>
        <v>0.12959999999999999</v>
      </c>
      <c r="AH361" s="563"/>
      <c r="AI361" s="311" t="str">
        <f t="shared" si="49"/>
        <v>Mayor</v>
      </c>
      <c r="AJ361" s="179">
        <f>IF(Y361=[11]Listas!$G$55,AJ360-(AJ360*AB361),AJ360)</f>
        <v>0.8</v>
      </c>
      <c r="AK361" s="563"/>
      <c r="AL361" s="566"/>
      <c r="AM361" s="566"/>
      <c r="AN361" s="566"/>
      <c r="AO361" s="569"/>
      <c r="AP361" s="572"/>
      <c r="AQ361" s="346"/>
      <c r="AR361" s="192"/>
    </row>
    <row r="362" spans="2:70" ht="167.25" customHeight="1" thickTop="1" thickBot="1" x14ac:dyDescent="0.4">
      <c r="B362" s="537"/>
      <c r="C362" s="559" t="s">
        <v>100</v>
      </c>
      <c r="D362" s="573" t="s">
        <v>544</v>
      </c>
      <c r="E362" s="576" t="s">
        <v>4</v>
      </c>
      <c r="F362" s="579" t="s">
        <v>545</v>
      </c>
      <c r="G362" s="582" t="s">
        <v>546</v>
      </c>
      <c r="H362" s="585" t="s">
        <v>547</v>
      </c>
      <c r="I362" s="588" t="s">
        <v>20</v>
      </c>
      <c r="J362" s="588" t="s">
        <v>22</v>
      </c>
      <c r="K362" s="591" t="s">
        <v>548</v>
      </c>
      <c r="L362" s="588" t="s">
        <v>186</v>
      </c>
      <c r="M362" s="594" t="s">
        <v>214</v>
      </c>
      <c r="N362" s="597" t="str">
        <f>+IF(M362="","",IF(M362=$BO$15,$BN$15,IF(M362=$BO$16,$BN$16,IF(M362=$BO$17,$BN$17,IF(M362=$BO$18,$BN$18,IF(M362=$BO$19,$BN$19))))))</f>
        <v>Media</v>
      </c>
      <c r="O362" s="600">
        <f>+IF(M362="","",IF(M362=$BO$15,$BR$15,IF(M362=$BO$16,$BR$16,IF(M362=$BO$17,$BR$17,IF(M362=$BO$18,$BR$18,IF(M362=$BO$19,$BR$19))))))</f>
        <v>0.6</v>
      </c>
      <c r="P362" s="594" t="s">
        <v>212</v>
      </c>
      <c r="Q362" s="603" t="str">
        <f>+IF(P362="","",IF(P362='[12]Mapa de Calor inherente'!$AF$6,'[12]Mapa de Calor inherente'!$AD$6,IF(P362='[12]Mapa de Calor inherente'!$AF$7,'[12]Mapa de Calor inherente'!$AD$7,IF(P362='[12]Mapa de Calor inherente'!$AF$8,'[12]Mapa de Calor inherente'!$AD$8,IF(P362='[12]Mapa de Calor inherente'!$AF$9,'[12]Mapa de Calor inherente'!$AD$9,IF(P362='[12]Mapa de Calor inherente'!$AF$10,'[12]Mapa de Calor inherente'!$AD$10,IF(P362='[12]Mapa de Calor inherente'!$AG$6,'[12]Mapa de Calor inherente'!$AD$6,IF(P362='[12]Mapa de Calor inherente'!$AG$7,'[12]Mapa de Calor inherente'!$AD$7,IF(P362='[12]Mapa de Calor inherente'!$AG$8,'[12]Mapa de Calor inherente'!$AD$8,IF(P362='[12]Mapa de Calor inherente'!$AG$9,'[12]Mapa de Calor inherente'!$AD$9,IF(P362='[12]Mapa de Calor inherente'!$AG$10,'[12]Mapa de Calor inherente'!$AD$10,IF(P362='[12]Mapa de Calor inherente'!$AD$8,'[12]Mapa de Calor inherente'!$AD$8,IF(P362='[12]Mapa de Calor inherente'!$AD$9,'[12]Mapa de Calor inherente'!$AD$9,IF(P362='[12]Mapa de Calor inherente'!$AD$10,'[12]Mapa de Calor inherente'!$AD$10))))))))))))))</f>
        <v>Moderado</v>
      </c>
      <c r="R362" s="600">
        <f>+IF(P362="","",IF(P362='[12]Mapa de Calor inherente'!$AF$6,'[12]Mapa de Calor inherente'!$AE$6,IF(P362='[12]Mapa de Calor inherente'!$AF$7,'[12]Mapa de Calor inherente'!$AE$7,IF(P362='[12]Mapa de Calor inherente'!$AF$8,'[12]Mapa de Calor inherente'!$AE$8,IF(P362='[12]Mapa de Calor inherente'!$AF$9,'[12]Mapa de Calor inherente'!$AE$9,IF(P362='[12]Mapa de Calor inherente'!$AF$10,'[12]Mapa de Calor inherente'!$AE$10,IF(P362='[12]Mapa de Calor inherente'!$AG$6,'[12]Mapa de Calor inherente'!$AE$6,IF(P362='[12]Mapa de Calor inherente'!$AG$7,'[12]Mapa de Calor inherente'!$AE$7,IF(P362='[12]Mapa de Calor inherente'!$AG$8,'[12]Mapa de Calor inherente'!$AE$8,IF(P362='[12]Mapa de Calor inherente'!$AG$9,'[12]Mapa de Calor inherente'!$AE$9,IF(P362='[12]Mapa de Calor inherente'!$AG$10,'[12]Mapa de Calor inherente'!$AE$10,IF(P362='[12]Mapa de Calor inherente'!$AD$8,'[12]Mapa de Calor inherente'!$AE$8,IF(P362='[12]Mapa de Calor inherente'!$AD$9,'[12]Mapa de Calor inherente'!$AE$9,IF(P362='[12]Mapa de Calor inherente'!$AD$10,'[12]Mapa de Calor inherente'!$AE$10))))))))))))))</f>
        <v>0.6</v>
      </c>
      <c r="S362" s="282">
        <f>IF(O362="","",IF(R362="","",(O362*R362)))</f>
        <v>0.36</v>
      </c>
      <c r="T362" s="603" t="str">
        <f>+IF(N362=$BB$17,IF(Q362=$BC$16,$BC$17,IF(Q362=$BD$16,$BD$17,IF(Q362=$BE$16,$BE$17,IF(Q362=$BF$16,$BF$17,IF(Q362=$BG$16,$BG$17))))),IF(N362=$BB$18,IF(Q362=$BC$16,$BC$18,IF(Q362=$BD$16,$BD$18,IF(Q362=$BE$16,$BE$18,IF(Q362=$BF$16,$BF$18,IF(Q362=$BG$16,$BG$18))))),IF(N362=$BB$19,IF(Q362=$BC$16,$BC$19,IF(Q362=$BD$16,$BD$19,IF(Q362=$BE$16,$BE$19,IF(Q362=$BF$16,$BF$19,IF(Q362=$BG$16,$BG$19))))),IF(N362=$BB$20,IF(Q362=$BC$16,$BC$20,IF(Q362=$BD$16,$BD$20,IF(Q362=$BE$16,$BE$20,IF(Q362=$BF$16,$BF$20,IF(Q362=$BG$16,$BG$20))))),IF(N362=$BB$21,IF(Q362=$BC$16,$BC$21,IF(Q362=$BD$16,$BD$21,IF(Q362=$BE$16,$BE$21,IF(Q362=$BF$16,$BF$21,IF(Q362=$BG$16,$BG$21))))),"")))))</f>
        <v>Moderado</v>
      </c>
      <c r="U362" s="139" t="s">
        <v>171</v>
      </c>
      <c r="V362" s="465" t="s">
        <v>549</v>
      </c>
      <c r="W362" s="295" t="s">
        <v>40</v>
      </c>
      <c r="X362" s="296">
        <f>IF(W362=[12]Listas!$B$46,[12]Listas!$C$46,IF(W362=[12]Listas!$B$47,[12]Listas!$C$47,IF(W362=[12]Listas!$B$48,[12]Listas!$C$48,"")))</f>
        <v>0.25</v>
      </c>
      <c r="Y362" s="297" t="str">
        <f>IF(OR(W362=[12]Listas!$F$53,W362=[12]Listas!$F$54),[12]Listas!$G$53,IF(W362=[12]Listas!$F$55,[12]Listas!$G$55,""))</f>
        <v>Probabilidad</v>
      </c>
      <c r="Z362" s="295" t="s">
        <v>43</v>
      </c>
      <c r="AA362" s="296">
        <f>+IF(Z362=[12]Listas!$E$46,[12]Listas!$F$46,IF(Z362=[12]Listas!$E$47,[12]Listas!$F$47,""))</f>
        <v>0.15</v>
      </c>
      <c r="AB362" s="140">
        <f>IFERROR(X362+AA362,"")</f>
        <v>0.4</v>
      </c>
      <c r="AC362" s="291" t="s">
        <v>57</v>
      </c>
      <c r="AD362" s="295" t="s">
        <v>58</v>
      </c>
      <c r="AE362" s="298" t="s">
        <v>59</v>
      </c>
      <c r="AF362" s="299" t="str">
        <f t="shared" si="51"/>
        <v>Baja</v>
      </c>
      <c r="AG362" s="141">
        <f>IF(Y362=[12]Listas!$G$53,O362-(O362*AB362),O362)</f>
        <v>0.36</v>
      </c>
      <c r="AH362" s="561">
        <f>+IF(AG371="","",AG371)</f>
        <v>0.12959999999999999</v>
      </c>
      <c r="AI362" s="299" t="str">
        <f>IF(AJ362="","",IF(AJ362&lt;=20%,"Leve",IF(AJ362&lt;=40%,"Menor",IF(AJ362&lt;=60%,"Moderado",IF(AJ362&lt;=80%,"Mayor","Catastrófico")))))</f>
        <v>Moderado</v>
      </c>
      <c r="AJ362" s="141">
        <f>IF(Y362=[12]Listas!$G$55,R362-(R362*AB362),R362)</f>
        <v>0.6</v>
      </c>
      <c r="AK362" s="561">
        <f>+IF(AJ371="","",AJ371)</f>
        <v>0.6</v>
      </c>
      <c r="AL362" s="564" t="str">
        <f>+IF(AH362=0,"",IF(AH362&lt;=$BA$21,$BB$21,IF(AH362&lt;=$BA$20,$BB$20,IF(AH362&lt;=$BA$19,$BB$19,IF(AH362&lt;=$BA$18,$BB$18,IF(AH362&lt;=$BA$17,$BB$17,""))))))</f>
        <v>Muy Baja</v>
      </c>
      <c r="AM362" s="564" t="str">
        <f>+IF(AK362=0,"",IF(AK362&lt;=$BC$15,$BC$16,IF(AK362&lt;=$BD$15,$BD$16,IF(AK362&lt;=$BE$15,$BE$16,IF(AK362&lt;=$BF$15,$BF$16,IF(AK362&lt;=$BG$15,$BG$16,""))))))</f>
        <v>Moderado</v>
      </c>
      <c r="AN362" s="564" t="str">
        <f>IF(AL362=$BB$17,IF(AM362=$BC$16,$BC$17,IF(AM362=$BD$16,$BD$17,IF(AM362=$BE$16,$BE$17,IF(AM362=$BF$16,$BF$17,IF(AM362=$BG$16,$BG$17))))),IF(AL362=$BB$18,IF(AM362=$BC$16,$BC$18,IF(AM362=$BD$16,$BD$18,IF(AM362=$BE$16,$BE$18,IF(AM362=$BF$16,$BF$18,IF(AM362=$BG$16,$BG$18))))),IF(AL362=$BB$19,IF(AM362=$BC$16,$BC$19,IF(AM362=$BD$16,$BD$19,IF(AM362=$BE$16,$BE$19,IF(AM362=$BF$16,$BF$19,IF(AM362=$BG$16,$BG$19))))),IF(AL362=$BB$20,IF(AM362=$BC$16,$BC$20,IF(AM362=$BD$16,$BD$20,IF(AM362=$BE$16,$BE$20,IF(AM362=$BF$16,$BF$20,IF(AM362=$BG$16,$BG$20))))),IF(AL362=$BB$21,IF(AM362=$BC$16,$BC$21,IF(AM362=$BD$16,$BD$21,IF(AM362=$BE$16,$BE$21,IF(AM362=$BF$16,$BF$21,IF(AM362=$BG$16,$BG$21))))),"")))))</f>
        <v>Moderado</v>
      </c>
      <c r="AO362" s="567" t="str">
        <f>IF(AP362="","",IF(AP362=[12]Listas!$F$61,[12]Listas!$G$61,IF(AP362=[12]Listas!$F$63,[12]Listas!$G$63,IF(AP362=[12]Listas!$F$64,[12]Listas!$G$64))))</f>
        <v>Requiere Plan de Acción</v>
      </c>
      <c r="AP362" s="630" t="str">
        <f>IF(AN362="","",IF(OR(AN362=[12]Listas!$E$61,AN362=[12]Listas!$E$62),[12]Listas!$F$61,IF(AN362=[12]Listas!$E$63,[12]Listas!$F$63,IF(AN362=[12]Listas!$E$64,[12]Listas!$F$64))))</f>
        <v>Aceptar o reducir el riesgo</v>
      </c>
      <c r="AQ362" s="300" t="s">
        <v>80</v>
      </c>
      <c r="AR362" s="234" t="s">
        <v>550</v>
      </c>
    </row>
    <row r="363" spans="2:70" ht="99" thickTop="1" thickBot="1" x14ac:dyDescent="0.35">
      <c r="B363" s="537"/>
      <c r="C363" s="559"/>
      <c r="D363" s="574"/>
      <c r="E363" s="577"/>
      <c r="F363" s="580"/>
      <c r="G363" s="583"/>
      <c r="H363" s="586"/>
      <c r="I363" s="589"/>
      <c r="J363" s="589"/>
      <c r="K363" s="592"/>
      <c r="L363" s="589"/>
      <c r="M363" s="595"/>
      <c r="N363" s="598"/>
      <c r="O363" s="601"/>
      <c r="P363" s="595"/>
      <c r="Q363" s="604"/>
      <c r="R363" s="601"/>
      <c r="S363" s="283"/>
      <c r="T363" s="604"/>
      <c r="U363" s="142" t="s">
        <v>174</v>
      </c>
      <c r="V363" s="466" t="s">
        <v>551</v>
      </c>
      <c r="W363" s="301" t="s">
        <v>40</v>
      </c>
      <c r="X363" s="302">
        <f>IF(W363=[12]Listas!$B$46,[12]Listas!$C$46,IF(W363=[12]Listas!$B$47,[12]Listas!$C$47,IF(W363=[12]Listas!$B$48,[12]Listas!$C$48,"")))</f>
        <v>0.25</v>
      </c>
      <c r="Y363" s="303" t="str">
        <f>IF(OR(W363=[12]Listas!$F$53,W363=[12]Listas!$F$54),[12]Listas!$G$53,IF(W363=[12]Listas!$F$55,[12]Listas!$G$55,""))</f>
        <v>Probabilidad</v>
      </c>
      <c r="Z363" s="301" t="s">
        <v>43</v>
      </c>
      <c r="AA363" s="143">
        <f>+IF(Z363=[12]Listas!$E$46,[12]Listas!$F$46,IF(Z363=[12]Listas!$E$47,[12]Listas!$F$47,""))</f>
        <v>0.15</v>
      </c>
      <c r="AB363" s="144">
        <f>IFERROR(X363+AA363,"")</f>
        <v>0.4</v>
      </c>
      <c r="AC363" s="301" t="s">
        <v>57</v>
      </c>
      <c r="AD363" s="301" t="s">
        <v>58</v>
      </c>
      <c r="AE363" s="304" t="s">
        <v>59</v>
      </c>
      <c r="AF363" s="305" t="str">
        <f t="shared" si="51"/>
        <v>Baja</v>
      </c>
      <c r="AG363" s="145">
        <f>IF(Y363=[12]Listas!$G$53,AG362-(AG362*AB363),AG362)</f>
        <v>0.216</v>
      </c>
      <c r="AH363" s="562"/>
      <c r="AI363" s="305" t="str">
        <f t="shared" ref="AI363:AI401" si="55">IF(AJ363="","",IF(AJ363&lt;=20%,"Leve",IF(AJ363&lt;=40%,"Menor",IF(AJ363&lt;=60%,"Moderado",IF(AJ363&lt;=80%,"Mayor","Catastrófico")))))</f>
        <v>Moderado</v>
      </c>
      <c r="AJ363" s="145">
        <f>IF(Y363=[12]Listas!$G$55,AJ362-(AJ362*AB363),AJ362)</f>
        <v>0.6</v>
      </c>
      <c r="AK363" s="562"/>
      <c r="AL363" s="565"/>
      <c r="AM363" s="565"/>
      <c r="AN363" s="565"/>
      <c r="AO363" s="568"/>
      <c r="AP363" s="631"/>
      <c r="AQ363" s="306" t="s">
        <v>90</v>
      </c>
      <c r="AR363" s="235" t="s">
        <v>552</v>
      </c>
      <c r="AZ363" s="633" t="s">
        <v>177</v>
      </c>
      <c r="BA363" s="634"/>
      <c r="BB363" s="634"/>
      <c r="BC363" s="634"/>
      <c r="BD363" s="634"/>
      <c r="BE363" s="634"/>
      <c r="BF363" s="634"/>
      <c r="BG363" s="635"/>
      <c r="BI363" s="636" t="s">
        <v>178</v>
      </c>
      <c r="BJ363" s="637"/>
      <c r="BK363" s="637"/>
      <c r="BL363" s="638"/>
      <c r="BN363" s="639" t="s">
        <v>179</v>
      </c>
      <c r="BO363" s="640"/>
      <c r="BP363" s="641"/>
      <c r="BQ363" s="641"/>
      <c r="BR363" s="642"/>
    </row>
    <row r="364" spans="2:70" ht="135.75" customHeight="1" thickTop="1" thickBot="1" x14ac:dyDescent="0.35">
      <c r="B364" s="537"/>
      <c r="C364" s="559"/>
      <c r="D364" s="574"/>
      <c r="E364" s="577"/>
      <c r="F364" s="580"/>
      <c r="G364" s="583"/>
      <c r="H364" s="586"/>
      <c r="I364" s="589"/>
      <c r="J364" s="589"/>
      <c r="K364" s="592"/>
      <c r="L364" s="589"/>
      <c r="M364" s="595"/>
      <c r="N364" s="598"/>
      <c r="O364" s="601"/>
      <c r="P364" s="595"/>
      <c r="Q364" s="604"/>
      <c r="R364" s="601"/>
      <c r="S364" s="283"/>
      <c r="T364" s="604"/>
      <c r="U364" s="142" t="s">
        <v>180</v>
      </c>
      <c r="V364" s="467" t="s">
        <v>553</v>
      </c>
      <c r="W364" s="301" t="s">
        <v>40</v>
      </c>
      <c r="X364" s="302">
        <f>IF(W364=[12]Listas!$B$46,[12]Listas!$C$46,IF(W364=[12]Listas!$B$47,[12]Listas!$C$47,IF(W364=[12]Listas!$B$48,[12]Listas!$C$48,"")))</f>
        <v>0.25</v>
      </c>
      <c r="Y364" s="303" t="str">
        <f>IF(OR(W364=[12]Listas!$F$53,W364=[12]Listas!$F$54),[12]Listas!$G$53,IF(W364=[12]Listas!$F$55,[12]Listas!$G$55,""))</f>
        <v>Probabilidad</v>
      </c>
      <c r="Z364" s="301" t="s">
        <v>43</v>
      </c>
      <c r="AA364" s="143">
        <f>+IF(Z364=[12]Listas!$E$46,[12]Listas!$F$46,IF(Z364=[12]Listas!$E$47,[12]Listas!$F$47,""))</f>
        <v>0.15</v>
      </c>
      <c r="AB364" s="144">
        <f>IFERROR(X364+AA364,"")</f>
        <v>0.4</v>
      </c>
      <c r="AC364" s="301" t="s">
        <v>57</v>
      </c>
      <c r="AD364" s="301" t="s">
        <v>58</v>
      </c>
      <c r="AE364" s="304" t="s">
        <v>59</v>
      </c>
      <c r="AF364" s="305" t="str">
        <f t="shared" si="51"/>
        <v>Muy baja</v>
      </c>
      <c r="AG364" s="145">
        <f>IF(Y364=[12]Listas!$G$53,AG363-(AG363*AB364),AG363)</f>
        <v>0.12959999999999999</v>
      </c>
      <c r="AH364" s="562"/>
      <c r="AI364" s="305" t="str">
        <f t="shared" si="55"/>
        <v>Moderado</v>
      </c>
      <c r="AJ364" s="145">
        <f>IF(Y364=[12]Listas!$G$55,AJ363-(AJ363*AB364),AJ363)</f>
        <v>0.6</v>
      </c>
      <c r="AK364" s="562"/>
      <c r="AL364" s="565"/>
      <c r="AM364" s="565"/>
      <c r="AN364" s="565"/>
      <c r="AO364" s="568"/>
      <c r="AP364" s="631"/>
      <c r="AQ364" s="306"/>
      <c r="AR364" s="191"/>
      <c r="AZ364" s="146"/>
      <c r="BA364" s="147"/>
      <c r="BB364" s="148"/>
      <c r="BC364" s="643" t="s">
        <v>70</v>
      </c>
      <c r="BD364" s="643"/>
      <c r="BE364" s="643"/>
      <c r="BF364" s="643"/>
      <c r="BG364" s="643"/>
      <c r="BI364" s="149" t="s">
        <v>183</v>
      </c>
      <c r="BJ364" s="150" t="s">
        <v>184</v>
      </c>
      <c r="BK364" s="150" t="s">
        <v>185</v>
      </c>
      <c r="BL364" s="151" t="s">
        <v>186</v>
      </c>
      <c r="BN364" s="149" t="s">
        <v>183</v>
      </c>
      <c r="BO364" s="150" t="s">
        <v>187</v>
      </c>
      <c r="BP364" s="152" t="s">
        <v>188</v>
      </c>
      <c r="BQ364" s="152" t="s">
        <v>189</v>
      </c>
      <c r="BR364" s="151" t="s">
        <v>60</v>
      </c>
    </row>
    <row r="365" spans="2:70" ht="15.75" hidden="1" customHeight="1" thickBot="1" x14ac:dyDescent="0.4">
      <c r="B365" s="537"/>
      <c r="C365" s="559"/>
      <c r="D365" s="574"/>
      <c r="E365" s="577"/>
      <c r="F365" s="580"/>
      <c r="G365" s="583"/>
      <c r="H365" s="586"/>
      <c r="I365" s="589"/>
      <c r="J365" s="589"/>
      <c r="K365" s="592"/>
      <c r="L365" s="589"/>
      <c r="M365" s="595"/>
      <c r="N365" s="598"/>
      <c r="O365" s="601"/>
      <c r="P365" s="595"/>
      <c r="Q365" s="604"/>
      <c r="R365" s="601"/>
      <c r="S365" s="283"/>
      <c r="T365" s="604"/>
      <c r="U365" s="142" t="s">
        <v>190</v>
      </c>
      <c r="V365" s="415"/>
      <c r="W365" s="301"/>
      <c r="X365" s="302" t="str">
        <f>IF(W365=[12]Listas!$B$46,[12]Listas!$C$46,IF(W365=[12]Listas!$B$47,[12]Listas!$C$47,IF(W365=[12]Listas!$B$48,[12]Listas!$C$48,"")))</f>
        <v/>
      </c>
      <c r="Y365" s="303" t="str">
        <f>IF(OR(W365=[12]Listas!$F$53,W365=[12]Listas!$F$54),[12]Listas!$G$53,IF(W365=[12]Listas!$F$55,[12]Listas!$G$55,""))</f>
        <v/>
      </c>
      <c r="Z365" s="301"/>
      <c r="AA365" s="143" t="str">
        <f>+IF(Z365=[12]Listas!$E$46,[12]Listas!$F$46,IF(Z365=[12]Listas!$E$47,[12]Listas!$F$47,""))</f>
        <v/>
      </c>
      <c r="AB365" s="144" t="str">
        <f t="shared" ref="AB365:AB371" si="56">IFERROR(X365+AA365,"")</f>
        <v/>
      </c>
      <c r="AC365" s="301"/>
      <c r="AD365" s="301"/>
      <c r="AE365" s="304"/>
      <c r="AF365" s="305" t="str">
        <f t="shared" si="51"/>
        <v>Muy baja</v>
      </c>
      <c r="AG365" s="145">
        <f>IF(Y365=[12]Listas!$G$53,AG364-(AG364*AB365),AG364)</f>
        <v>0.12959999999999999</v>
      </c>
      <c r="AH365" s="562"/>
      <c r="AI365" s="305" t="str">
        <f t="shared" si="55"/>
        <v>Moderado</v>
      </c>
      <c r="AJ365" s="145">
        <f>IF(Y365=[12]Listas!$G$55,AJ364-(AJ364*AB365),AJ364)</f>
        <v>0.6</v>
      </c>
      <c r="AK365" s="562"/>
      <c r="AL365" s="565"/>
      <c r="AM365" s="565"/>
      <c r="AN365" s="565"/>
      <c r="AO365" s="568"/>
      <c r="AP365" s="631"/>
      <c r="AQ365" s="306"/>
      <c r="AR365" s="117"/>
      <c r="AZ365" s="153"/>
      <c r="BA365" s="154"/>
      <c r="BB365" s="155" t="s">
        <v>192</v>
      </c>
      <c r="BC365" s="156">
        <v>0.2</v>
      </c>
      <c r="BD365" s="156">
        <v>0.4</v>
      </c>
      <c r="BE365" s="156">
        <v>0.6</v>
      </c>
      <c r="BF365" s="156">
        <v>0.8</v>
      </c>
      <c r="BG365" s="156">
        <v>1</v>
      </c>
      <c r="BI365" s="157" t="s">
        <v>193</v>
      </c>
      <c r="BJ365" s="158">
        <v>0.2</v>
      </c>
      <c r="BK365" s="159" t="s">
        <v>194</v>
      </c>
      <c r="BL365" s="160" t="s">
        <v>195</v>
      </c>
      <c r="BN365" s="157" t="s">
        <v>196</v>
      </c>
      <c r="BO365" s="159" t="s">
        <v>197</v>
      </c>
      <c r="BP365" s="161">
        <v>0</v>
      </c>
      <c r="BQ365" s="161">
        <v>2</v>
      </c>
      <c r="BR365" s="162">
        <v>0.2</v>
      </c>
    </row>
    <row r="366" spans="2:70" ht="30.75" hidden="1" customHeight="1" thickBot="1" x14ac:dyDescent="0.4">
      <c r="B366" s="537"/>
      <c r="C366" s="559"/>
      <c r="D366" s="574"/>
      <c r="E366" s="577"/>
      <c r="F366" s="580"/>
      <c r="G366" s="583"/>
      <c r="H366" s="586"/>
      <c r="I366" s="589"/>
      <c r="J366" s="589"/>
      <c r="K366" s="592"/>
      <c r="L366" s="589"/>
      <c r="M366" s="595"/>
      <c r="N366" s="598"/>
      <c r="O366" s="601"/>
      <c r="P366" s="595"/>
      <c r="Q366" s="604"/>
      <c r="R366" s="601"/>
      <c r="S366" s="283"/>
      <c r="T366" s="604"/>
      <c r="U366" s="142" t="s">
        <v>198</v>
      </c>
      <c r="V366" s="415"/>
      <c r="W366" s="301"/>
      <c r="X366" s="302" t="str">
        <f>IF(W366=[12]Listas!$B$46,[12]Listas!$C$46,IF(W366=[12]Listas!$B$47,[12]Listas!$C$47,IF(W366=[12]Listas!$B$48,[12]Listas!$C$48,"")))</f>
        <v/>
      </c>
      <c r="Y366" s="303" t="str">
        <f>IF(OR(W366=[12]Listas!$F$53,W366=[12]Listas!$F$54),[12]Listas!$G$53,IF(W366=[12]Listas!$F$55,[12]Listas!$G$55,""))</f>
        <v/>
      </c>
      <c r="Z366" s="301"/>
      <c r="AA366" s="143" t="str">
        <f>+IF(Z366=[12]Listas!$E$46,[12]Listas!$F$46,IF(Z366=[12]Listas!$E$47,[12]Listas!$F$47,""))</f>
        <v/>
      </c>
      <c r="AB366" s="144" t="str">
        <f t="shared" si="56"/>
        <v/>
      </c>
      <c r="AC366" s="301"/>
      <c r="AD366" s="301"/>
      <c r="AE366" s="304"/>
      <c r="AF366" s="305" t="str">
        <f t="shared" si="51"/>
        <v>Muy baja</v>
      </c>
      <c r="AG366" s="145">
        <f>IF(Y366=[12]Listas!$G$53,AG365-(AG365*AB366),AG365)</f>
        <v>0.12959999999999999</v>
      </c>
      <c r="AH366" s="562"/>
      <c r="AI366" s="305" t="str">
        <f t="shared" si="55"/>
        <v>Moderado</v>
      </c>
      <c r="AJ366" s="145">
        <f>IF(Y366=[12]Listas!$G$55,AJ365-(AJ365*AB366),AJ365)</f>
        <v>0.6</v>
      </c>
      <c r="AK366" s="562"/>
      <c r="AL366" s="565"/>
      <c r="AM366" s="565"/>
      <c r="AN366" s="565"/>
      <c r="AO366" s="568"/>
      <c r="AP366" s="631"/>
      <c r="AQ366" s="306"/>
      <c r="AR366" s="117"/>
      <c r="AZ366" s="153"/>
      <c r="BA366" s="154"/>
      <c r="BB366" s="163" t="s">
        <v>200</v>
      </c>
      <c r="BC366" s="164" t="s">
        <v>193</v>
      </c>
      <c r="BD366" s="164" t="s">
        <v>201</v>
      </c>
      <c r="BE366" s="164" t="s">
        <v>83</v>
      </c>
      <c r="BF366" s="164" t="s">
        <v>202</v>
      </c>
      <c r="BG366" s="164" t="s">
        <v>203</v>
      </c>
      <c r="BI366" s="165" t="s">
        <v>201</v>
      </c>
      <c r="BJ366" s="158">
        <v>0.4</v>
      </c>
      <c r="BK366" s="166" t="s">
        <v>204</v>
      </c>
      <c r="BL366" s="167" t="s">
        <v>205</v>
      </c>
      <c r="BN366" s="165" t="s">
        <v>206</v>
      </c>
      <c r="BO366" s="166" t="s">
        <v>207</v>
      </c>
      <c r="BP366" s="161">
        <v>3</v>
      </c>
      <c r="BQ366" s="161">
        <v>24</v>
      </c>
      <c r="BR366" s="162">
        <v>0.4</v>
      </c>
    </row>
    <row r="367" spans="2:70" ht="30.75" hidden="1" customHeight="1" thickBot="1" x14ac:dyDescent="0.4">
      <c r="B367" s="537"/>
      <c r="C367" s="559"/>
      <c r="D367" s="574"/>
      <c r="E367" s="577"/>
      <c r="F367" s="580"/>
      <c r="G367" s="583"/>
      <c r="H367" s="586"/>
      <c r="I367" s="589"/>
      <c r="J367" s="589"/>
      <c r="K367" s="592"/>
      <c r="L367" s="589"/>
      <c r="M367" s="595"/>
      <c r="N367" s="598"/>
      <c r="O367" s="601"/>
      <c r="P367" s="595"/>
      <c r="Q367" s="604"/>
      <c r="R367" s="601"/>
      <c r="S367" s="283"/>
      <c r="T367" s="604"/>
      <c r="U367" s="142" t="s">
        <v>208</v>
      </c>
      <c r="V367" s="415"/>
      <c r="W367" s="301"/>
      <c r="X367" s="302" t="str">
        <f>IF(W367=[12]Listas!$B$46,[12]Listas!$C$46,IF(W367=[12]Listas!$B$47,[12]Listas!$C$47,IF(W367=[12]Listas!$B$48,[12]Listas!$C$48,"")))</f>
        <v/>
      </c>
      <c r="Y367" s="303" t="str">
        <f>IF(OR(W367=[12]Listas!$F$53,W367=[12]Listas!$F$54),[12]Listas!$G$53,IF(W367=[12]Listas!$F$55,[12]Listas!$G$55,""))</f>
        <v/>
      </c>
      <c r="Z367" s="301"/>
      <c r="AA367" s="143" t="str">
        <f>+IF(Z367=[12]Listas!$E$46,[12]Listas!$F$46,IF(Z367=[12]Listas!$E$47,[12]Listas!$F$47,""))</f>
        <v/>
      </c>
      <c r="AB367" s="144" t="str">
        <f t="shared" si="56"/>
        <v/>
      </c>
      <c r="AC367" s="301"/>
      <c r="AD367" s="301"/>
      <c r="AE367" s="304"/>
      <c r="AF367" s="305" t="str">
        <f t="shared" si="51"/>
        <v>Muy baja</v>
      </c>
      <c r="AG367" s="145">
        <f>IF(Y367=[12]Listas!$G$53,AG366-(AG366*AB367),AG366)</f>
        <v>0.12959999999999999</v>
      </c>
      <c r="AH367" s="562"/>
      <c r="AI367" s="305" t="str">
        <f t="shared" si="55"/>
        <v>Moderado</v>
      </c>
      <c r="AJ367" s="145">
        <f>IF(Y367=[12]Listas!$G$55,AJ366-(AJ366*AB367),AJ366)</f>
        <v>0.6</v>
      </c>
      <c r="AK367" s="562"/>
      <c r="AL367" s="565"/>
      <c r="AM367" s="565"/>
      <c r="AN367" s="565"/>
      <c r="AO367" s="568"/>
      <c r="AP367" s="631"/>
      <c r="AQ367" s="306"/>
      <c r="AR367" s="117"/>
      <c r="AZ367" s="644" t="s">
        <v>60</v>
      </c>
      <c r="BA367" s="168">
        <v>1</v>
      </c>
      <c r="BB367" s="164" t="s">
        <v>210</v>
      </c>
      <c r="BC367" s="169" t="s">
        <v>81</v>
      </c>
      <c r="BD367" s="169" t="s">
        <v>81</v>
      </c>
      <c r="BE367" s="169" t="s">
        <v>81</v>
      </c>
      <c r="BF367" s="169" t="s">
        <v>81</v>
      </c>
      <c r="BG367" s="170" t="s">
        <v>77</v>
      </c>
      <c r="BI367" s="171" t="s">
        <v>83</v>
      </c>
      <c r="BJ367" s="158">
        <v>0.6</v>
      </c>
      <c r="BK367" s="166" t="s">
        <v>211</v>
      </c>
      <c r="BL367" s="167" t="s">
        <v>212</v>
      </c>
      <c r="BN367" s="171" t="s">
        <v>213</v>
      </c>
      <c r="BO367" s="166" t="s">
        <v>214</v>
      </c>
      <c r="BP367" s="161">
        <v>25</v>
      </c>
      <c r="BQ367" s="161">
        <v>500</v>
      </c>
      <c r="BR367" s="162">
        <v>0.6</v>
      </c>
    </row>
    <row r="368" spans="2:70" ht="30.75" hidden="1" customHeight="1" thickBot="1" x14ac:dyDescent="0.4">
      <c r="B368" s="537"/>
      <c r="C368" s="559"/>
      <c r="D368" s="574"/>
      <c r="E368" s="577"/>
      <c r="F368" s="580"/>
      <c r="G368" s="583"/>
      <c r="H368" s="586"/>
      <c r="I368" s="589"/>
      <c r="J368" s="589"/>
      <c r="K368" s="592"/>
      <c r="L368" s="589"/>
      <c r="M368" s="595"/>
      <c r="N368" s="598"/>
      <c r="O368" s="601"/>
      <c r="P368" s="595"/>
      <c r="Q368" s="604"/>
      <c r="R368" s="601"/>
      <c r="S368" s="283"/>
      <c r="T368" s="604"/>
      <c r="U368" s="142" t="s">
        <v>215</v>
      </c>
      <c r="V368" s="418"/>
      <c r="W368" s="301"/>
      <c r="X368" s="302" t="str">
        <f>IF(W368=[12]Listas!$B$46,[12]Listas!$C$46,IF(W368=[12]Listas!$B$47,[12]Listas!$C$47,IF(W368=[12]Listas!$B$48,[12]Listas!$C$48,"")))</f>
        <v/>
      </c>
      <c r="Y368" s="303" t="str">
        <f>IF(OR(W368=[12]Listas!$F$53,W368=[12]Listas!$F$54),[12]Listas!$G$53,IF(W368=[12]Listas!$F$55,[12]Listas!$G$55,""))</f>
        <v/>
      </c>
      <c r="Z368" s="301"/>
      <c r="AA368" s="143" t="str">
        <f>+IF(Z368=[12]Listas!$E$46,[12]Listas!$F$46,IF(Z368=[12]Listas!$E$47,[12]Listas!$F$47,""))</f>
        <v/>
      </c>
      <c r="AB368" s="144" t="str">
        <f t="shared" si="56"/>
        <v/>
      </c>
      <c r="AC368" s="301"/>
      <c r="AD368" s="301"/>
      <c r="AE368" s="304"/>
      <c r="AF368" s="305" t="str">
        <f t="shared" si="51"/>
        <v>Muy baja</v>
      </c>
      <c r="AG368" s="145">
        <f>IF(Y368=[12]Listas!$G$53,AG367-(AG367*AB368),AG367)</f>
        <v>0.12959999999999999</v>
      </c>
      <c r="AH368" s="562"/>
      <c r="AI368" s="305" t="str">
        <f t="shared" si="55"/>
        <v>Moderado</v>
      </c>
      <c r="AJ368" s="145">
        <f>IF(Y368=[12]Listas!$G$55,AJ367-(AJ367*AB368),AJ367)</f>
        <v>0.6</v>
      </c>
      <c r="AK368" s="562"/>
      <c r="AL368" s="565"/>
      <c r="AM368" s="565"/>
      <c r="AN368" s="565"/>
      <c r="AO368" s="568"/>
      <c r="AP368" s="631"/>
      <c r="AQ368" s="306"/>
      <c r="AR368" s="117"/>
      <c r="AZ368" s="644"/>
      <c r="BA368" s="168">
        <v>0.8</v>
      </c>
      <c r="BB368" s="164" t="s">
        <v>217</v>
      </c>
      <c r="BC368" s="172" t="s">
        <v>83</v>
      </c>
      <c r="BD368" s="172" t="s">
        <v>83</v>
      </c>
      <c r="BE368" s="169" t="s">
        <v>81</v>
      </c>
      <c r="BF368" s="169" t="s">
        <v>81</v>
      </c>
      <c r="BG368" s="170" t="s">
        <v>77</v>
      </c>
      <c r="BI368" s="173" t="s">
        <v>202</v>
      </c>
      <c r="BJ368" s="158">
        <v>0.8</v>
      </c>
      <c r="BK368" s="166" t="s">
        <v>218</v>
      </c>
      <c r="BL368" s="167" t="s">
        <v>219</v>
      </c>
      <c r="BN368" s="173" t="s">
        <v>217</v>
      </c>
      <c r="BO368" s="166" t="s">
        <v>169</v>
      </c>
      <c r="BP368" s="161">
        <v>5001</v>
      </c>
      <c r="BQ368" s="161">
        <v>5000</v>
      </c>
      <c r="BR368" s="162">
        <v>0.8</v>
      </c>
    </row>
    <row r="369" spans="2:70" ht="15" hidden="1" customHeight="1" thickTop="1" x14ac:dyDescent="0.35">
      <c r="B369" s="537"/>
      <c r="C369" s="559"/>
      <c r="D369" s="574"/>
      <c r="E369" s="577"/>
      <c r="F369" s="580"/>
      <c r="G369" s="583"/>
      <c r="H369" s="586"/>
      <c r="I369" s="589"/>
      <c r="J369" s="589"/>
      <c r="K369" s="592"/>
      <c r="L369" s="589"/>
      <c r="M369" s="595"/>
      <c r="N369" s="598"/>
      <c r="O369" s="601"/>
      <c r="P369" s="595"/>
      <c r="Q369" s="604"/>
      <c r="R369" s="601"/>
      <c r="S369" s="283"/>
      <c r="T369" s="604"/>
      <c r="U369" s="142" t="s">
        <v>220</v>
      </c>
      <c r="V369" s="419"/>
      <c r="W369" s="301"/>
      <c r="X369" s="302" t="str">
        <f>IF(W369=[12]Listas!$B$46,[12]Listas!$C$46,IF(W369=[12]Listas!$B$47,[12]Listas!$C$47,IF(W369=[12]Listas!$B$48,[12]Listas!$C$48,"")))</f>
        <v/>
      </c>
      <c r="Y369" s="303" t="str">
        <f>IF(OR(W369=[12]Listas!$F$53,W369=[12]Listas!$F$54),[12]Listas!$G$53,IF(W369=[12]Listas!$F$55,[12]Listas!$G$55,""))</f>
        <v/>
      </c>
      <c r="Z369" s="301"/>
      <c r="AA369" s="143" t="str">
        <f>+IF(Z369=[12]Listas!$E$46,[12]Listas!$F$46,IF(Z369=[12]Listas!$E$47,[12]Listas!$F$47,""))</f>
        <v/>
      </c>
      <c r="AB369" s="144" t="str">
        <f t="shared" si="56"/>
        <v/>
      </c>
      <c r="AC369" s="301"/>
      <c r="AD369" s="301"/>
      <c r="AE369" s="304"/>
      <c r="AF369" s="305" t="str">
        <f t="shared" si="51"/>
        <v>Muy baja</v>
      </c>
      <c r="AG369" s="145">
        <f>IF(Y369=[12]Listas!$G$53,AG368-(AG368*AB369),AG368)</f>
        <v>0.12959999999999999</v>
      </c>
      <c r="AH369" s="562"/>
      <c r="AI369" s="305" t="str">
        <f t="shared" si="55"/>
        <v>Moderado</v>
      </c>
      <c r="AJ369" s="145">
        <f>IF(Y369=[12]Listas!$G$55,AJ368-(AJ368*AB369),AJ368)</f>
        <v>0.6</v>
      </c>
      <c r="AK369" s="562"/>
      <c r="AL369" s="565"/>
      <c r="AM369" s="565"/>
      <c r="AN369" s="565"/>
      <c r="AO369" s="568"/>
      <c r="AP369" s="631"/>
      <c r="AQ369" s="306"/>
      <c r="AR369" s="117"/>
      <c r="AZ369" s="644"/>
      <c r="BA369" s="168">
        <v>0.6</v>
      </c>
      <c r="BB369" s="164" t="s">
        <v>213</v>
      </c>
      <c r="BC369" s="172" t="s">
        <v>83</v>
      </c>
      <c r="BD369" s="172" t="s">
        <v>83</v>
      </c>
      <c r="BE369" s="172" t="s">
        <v>83</v>
      </c>
      <c r="BF369" s="169" t="s">
        <v>81</v>
      </c>
      <c r="BG369" s="170" t="s">
        <v>77</v>
      </c>
      <c r="BI369" s="175" t="s">
        <v>203</v>
      </c>
      <c r="BJ369" s="158">
        <v>1</v>
      </c>
      <c r="BK369" s="166" t="s">
        <v>221</v>
      </c>
      <c r="BL369" s="167" t="s">
        <v>170</v>
      </c>
      <c r="BN369" s="175" t="s">
        <v>210</v>
      </c>
      <c r="BO369" s="166" t="s">
        <v>222</v>
      </c>
      <c r="BP369" s="161">
        <v>5001</v>
      </c>
      <c r="BQ369" s="161"/>
      <c r="BR369" s="162">
        <v>1</v>
      </c>
    </row>
    <row r="370" spans="2:70" ht="15" hidden="1" customHeight="1" thickTop="1" x14ac:dyDescent="0.35">
      <c r="B370" s="537"/>
      <c r="C370" s="559"/>
      <c r="D370" s="574"/>
      <c r="E370" s="577"/>
      <c r="F370" s="580"/>
      <c r="G370" s="583"/>
      <c r="H370" s="586"/>
      <c r="I370" s="589"/>
      <c r="J370" s="589"/>
      <c r="K370" s="592"/>
      <c r="L370" s="589"/>
      <c r="M370" s="595"/>
      <c r="N370" s="598"/>
      <c r="O370" s="601"/>
      <c r="P370" s="595"/>
      <c r="Q370" s="604"/>
      <c r="R370" s="601"/>
      <c r="S370" s="283"/>
      <c r="T370" s="604"/>
      <c r="U370" s="142" t="s">
        <v>223</v>
      </c>
      <c r="V370" s="419"/>
      <c r="W370" s="301"/>
      <c r="X370" s="302" t="str">
        <f>IF(W370=[12]Listas!$B$46,[12]Listas!$C$46,IF(W370=[12]Listas!$B$47,[12]Listas!$C$47,IF(W370=[12]Listas!$B$48,[12]Listas!$C$48,"")))</f>
        <v/>
      </c>
      <c r="Y370" s="303" t="str">
        <f>IF(OR(W370=[12]Listas!$F$53,W370=[12]Listas!$F$54),[12]Listas!$G$53,IF(W370=[12]Listas!$F$55,[12]Listas!$G$55,""))</f>
        <v/>
      </c>
      <c r="Z370" s="301"/>
      <c r="AA370" s="143" t="str">
        <f>+IF(Z370=[12]Listas!$E$46,[12]Listas!$F$46,IF(Z370=[12]Listas!$E$47,[12]Listas!$F$47,""))</f>
        <v/>
      </c>
      <c r="AB370" s="144" t="str">
        <f t="shared" si="56"/>
        <v/>
      </c>
      <c r="AC370" s="301"/>
      <c r="AD370" s="301"/>
      <c r="AE370" s="304"/>
      <c r="AF370" s="305" t="str">
        <f t="shared" si="51"/>
        <v>Muy baja</v>
      </c>
      <c r="AG370" s="145">
        <f>IF(Y370=[12]Listas!$G$53,AG369-(AG369*AB370),AG369)</f>
        <v>0.12959999999999999</v>
      </c>
      <c r="AH370" s="562"/>
      <c r="AI370" s="305" t="str">
        <f t="shared" si="55"/>
        <v>Moderado</v>
      </c>
      <c r="AJ370" s="145">
        <f>IF(Y370=[12]Listas!$G$55,AJ369-(AJ369*AB370),AJ369)</f>
        <v>0.6</v>
      </c>
      <c r="AK370" s="562"/>
      <c r="AL370" s="565"/>
      <c r="AM370" s="565"/>
      <c r="AN370" s="565"/>
      <c r="AO370" s="568"/>
      <c r="AP370" s="631"/>
      <c r="AQ370" s="306"/>
      <c r="AR370" s="117"/>
      <c r="AZ370" s="644"/>
      <c r="BA370" s="168">
        <v>0.4</v>
      </c>
      <c r="BB370" s="164" t="s">
        <v>206</v>
      </c>
      <c r="BC370" s="176" t="s">
        <v>86</v>
      </c>
      <c r="BD370" s="172" t="s">
        <v>83</v>
      </c>
      <c r="BE370" s="172" t="s">
        <v>83</v>
      </c>
      <c r="BF370" s="169" t="s">
        <v>81</v>
      </c>
      <c r="BG370" s="170" t="s">
        <v>77</v>
      </c>
    </row>
    <row r="371" spans="2:70" ht="15.75" hidden="1" customHeight="1" thickTop="1" x14ac:dyDescent="0.35">
      <c r="B371" s="537"/>
      <c r="C371" s="559"/>
      <c r="D371" s="575"/>
      <c r="E371" s="578"/>
      <c r="F371" s="581"/>
      <c r="G371" s="584"/>
      <c r="H371" s="587"/>
      <c r="I371" s="590"/>
      <c r="J371" s="590"/>
      <c r="K371" s="593"/>
      <c r="L371" s="590"/>
      <c r="M371" s="596"/>
      <c r="N371" s="599"/>
      <c r="O371" s="602"/>
      <c r="P371" s="596"/>
      <c r="Q371" s="605"/>
      <c r="R371" s="602"/>
      <c r="S371" s="284"/>
      <c r="T371" s="605"/>
      <c r="U371" s="202" t="s">
        <v>224</v>
      </c>
      <c r="V371" s="420"/>
      <c r="W371" s="307"/>
      <c r="X371" s="308" t="str">
        <f>IF(W371=[12]Listas!$B$46,[12]Listas!$C$46,IF(W371=[12]Listas!$B$47,[12]Listas!$C$47,IF(W371=[12]Listas!$B$48,[12]Listas!$C$48,"")))</f>
        <v/>
      </c>
      <c r="Y371" s="309" t="str">
        <f>IF(OR(W371=[12]Listas!$F$53,W371=[12]Listas!$F$54),[12]Listas!$G$53,IF(W371=[12]Listas!$F$55,[12]Listas!$G$55,""))</f>
        <v/>
      </c>
      <c r="Z371" s="307"/>
      <c r="AA371" s="177" t="str">
        <f>+IF(Z371=[12]Listas!$E$46,[12]Listas!$F$46,IF(Z371=[12]Listas!$E$47,[12]Listas!$F$47,""))</f>
        <v/>
      </c>
      <c r="AB371" s="178" t="str">
        <f t="shared" si="56"/>
        <v/>
      </c>
      <c r="AC371" s="307"/>
      <c r="AD371" s="307"/>
      <c r="AE371" s="310"/>
      <c r="AF371" s="311" t="str">
        <f t="shared" si="51"/>
        <v>Muy baja</v>
      </c>
      <c r="AG371" s="179">
        <f>IF(Y371=[12]Listas!$G$53,AG370-(AG370*AB371),AG370)</f>
        <v>0.12959999999999999</v>
      </c>
      <c r="AH371" s="563"/>
      <c r="AI371" s="311" t="str">
        <f t="shared" si="55"/>
        <v>Moderado</v>
      </c>
      <c r="AJ371" s="179">
        <f>IF(Y371=[12]Listas!$G$55,AJ370-(AJ370*AB371),AJ370)</f>
        <v>0.6</v>
      </c>
      <c r="AK371" s="563"/>
      <c r="AL371" s="566"/>
      <c r="AM371" s="566"/>
      <c r="AN371" s="566"/>
      <c r="AO371" s="569"/>
      <c r="AP371" s="632"/>
      <c r="AQ371" s="312"/>
      <c r="AR371" s="180"/>
      <c r="AZ371" s="644"/>
      <c r="BA371" s="168">
        <v>0.2</v>
      </c>
      <c r="BB371" s="164" t="s">
        <v>196</v>
      </c>
      <c r="BC371" s="176" t="s">
        <v>86</v>
      </c>
      <c r="BD371" s="176" t="s">
        <v>86</v>
      </c>
      <c r="BE371" s="172" t="s">
        <v>83</v>
      </c>
      <c r="BF371" s="169" t="s">
        <v>81</v>
      </c>
      <c r="BG371" s="170" t="s">
        <v>77</v>
      </c>
    </row>
    <row r="372" spans="2:70" ht="56.25" customHeight="1" thickTop="1" thickBot="1" x14ac:dyDescent="0.4">
      <c r="B372" s="537"/>
      <c r="C372" s="559"/>
      <c r="D372" s="609" t="s">
        <v>554</v>
      </c>
      <c r="E372" s="576" t="s">
        <v>4</v>
      </c>
      <c r="F372" s="865" t="s">
        <v>555</v>
      </c>
      <c r="G372" s="582" t="s">
        <v>556</v>
      </c>
      <c r="H372" s="654" t="s">
        <v>557</v>
      </c>
      <c r="I372" s="588" t="s">
        <v>20</v>
      </c>
      <c r="J372" s="588" t="s">
        <v>22</v>
      </c>
      <c r="K372" s="591" t="s">
        <v>558</v>
      </c>
      <c r="L372" s="588" t="s">
        <v>186</v>
      </c>
      <c r="M372" s="594" t="s">
        <v>214</v>
      </c>
      <c r="N372" s="597" t="str">
        <f>+IF(M372="","",IF(M372=$BO$15,$BN$15,IF(M372=$BO$16,$BN$16,IF(M372=$BO$17,$BN$17,IF(M372=$BO$18,$BN$18,IF(M372=$BO$19,$BN$19))))))</f>
        <v>Media</v>
      </c>
      <c r="O372" s="600">
        <f>+IF(M372="","",IF(M372=$BO$15,$BR$15,IF(M372=$BO$16,$BR$16,IF(M372=$BO$17,$BR$17,IF(M372=$BO$18,$BR$18,IF(M372=$BO$19,$BR$19))))))</f>
        <v>0.6</v>
      </c>
      <c r="P372" s="594" t="s">
        <v>212</v>
      </c>
      <c r="Q372" s="603" t="str">
        <f>+IF(P372="","",IF(P372='[12]Mapa de Calor inherente'!$AF$6,'[12]Mapa de Calor inherente'!$AD$6,IF(P372='[12]Mapa de Calor inherente'!$AF$7,'[12]Mapa de Calor inherente'!$AD$7,IF(P372='[12]Mapa de Calor inherente'!$AF$8,'[12]Mapa de Calor inherente'!$AD$8,IF(P372='[12]Mapa de Calor inherente'!$AF$9,'[12]Mapa de Calor inherente'!$AD$9,IF(P372='[12]Mapa de Calor inherente'!$AF$10,'[12]Mapa de Calor inherente'!$AD$10,IF(P372='[12]Mapa de Calor inherente'!$AG$6,'[12]Mapa de Calor inherente'!$AD$6,IF(P372='[12]Mapa de Calor inherente'!$AG$7,'[12]Mapa de Calor inherente'!$AD$7,IF(P372='[12]Mapa de Calor inherente'!$AG$8,'[12]Mapa de Calor inherente'!$AD$8,IF(P372='[12]Mapa de Calor inherente'!$AG$9,'[12]Mapa de Calor inherente'!$AD$9,IF(P372='[12]Mapa de Calor inherente'!$AG$10,'[12]Mapa de Calor inherente'!$AD$10,IF(P372='[12]Mapa de Calor inherente'!$AD$8,'[12]Mapa de Calor inherente'!$AD$8,IF(P372='[12]Mapa de Calor inherente'!$AD$9,'[12]Mapa de Calor inherente'!$AD$9,IF(P372='[12]Mapa de Calor inherente'!$AD$10,'[12]Mapa de Calor inherente'!$AD$10))))))))))))))</f>
        <v>Moderado</v>
      </c>
      <c r="R372" s="600">
        <f>+IF(P372="","",IF(P372='[12]Mapa de Calor inherente'!$AF$6,'[12]Mapa de Calor inherente'!$AE$6,IF(P372='[12]Mapa de Calor inherente'!$AF$7,'[12]Mapa de Calor inherente'!$AE$7,IF(P372='[12]Mapa de Calor inherente'!$AF$8,'[12]Mapa de Calor inherente'!$AE$8,IF(P372='[12]Mapa de Calor inherente'!$AF$9,'[12]Mapa de Calor inherente'!$AE$9,IF(P372='[12]Mapa de Calor inherente'!$AF$10,'[12]Mapa de Calor inherente'!$AE$10,IF(P372='[12]Mapa de Calor inherente'!$AG$6,'[12]Mapa de Calor inherente'!$AE$6,IF(P372='[12]Mapa de Calor inherente'!$AG$7,'[12]Mapa de Calor inherente'!$AE$7,IF(P372='[12]Mapa de Calor inherente'!$AG$8,'[12]Mapa de Calor inherente'!$AE$8,IF(P372='[12]Mapa de Calor inherente'!$AG$9,'[12]Mapa de Calor inherente'!$AE$9,IF(P372='[12]Mapa de Calor inherente'!$AG$10,'[12]Mapa de Calor inherente'!$AE$10,IF(P372='[12]Mapa de Calor inherente'!$AD$8,'[12]Mapa de Calor inherente'!$AE$8,IF(P372='[12]Mapa de Calor inherente'!$AD$9,'[12]Mapa de Calor inherente'!$AE$9,IF(P372='[12]Mapa de Calor inherente'!$AD$10,'[12]Mapa de Calor inherente'!$AE$10))))))))))))))</f>
        <v>0.6</v>
      </c>
      <c r="S372" s="292"/>
      <c r="T372" s="606" t="str">
        <f>+IF(N372=$BB$17,IF(Q372=$BC$16,$BC$17,IF(Q372=$BD$16,$BD$17,IF(Q372=$BE$16,$BE$17,IF(Q372=$BF$16,$BF$17,IF(Q372=$BG$16,$BG$17))))),IF(N372=$BB$18,IF(Q372=$BC$16,$BC$18,IF(Q372=$BD$16,$BD$18,IF(Q372=$BE$16,$BE$18,IF(Q372=$BF$16,$BF$18,IF(Q372=$BG$16,$BG$18))))),IF(N372=$BB$19,IF(Q372=$BC$16,$BC$19,IF(Q372=$BD$16,$BD$19,IF(Q372=$BE$16,$BE$19,IF(Q372=$BF$16,$BF$19,IF(Q372=$BG$16,$BG$19))))),IF(N372=$BB$20,IF(Q372=$BC$16,$BC$20,IF(Q372=$BD$16,$BD$20,IF(Q372=$BE$16,$BE$20,IF(Q372=$BF$16,$BF$20,IF(Q372=$BG$16,$BG$20))))),IF(N372=$BB$21,IF(Q372=$BC$16,$BC$21,IF(Q372=$BD$16,$BD$21,IF(Q372=$BE$16,$BE$21,IF(Q372=$BF$16,$BF$21,IF(Q372=$BG$16,$BG$21))))),"")))))</f>
        <v>Moderado</v>
      </c>
      <c r="U372" s="139" t="s">
        <v>171</v>
      </c>
      <c r="V372" s="468" t="s">
        <v>559</v>
      </c>
      <c r="W372" s="377" t="s">
        <v>40</v>
      </c>
      <c r="X372" s="314">
        <f>IF(W372=[12]Listas!$B$46,[12]Listas!$C$46,IF(W372=[12]Listas!$B$47,[12]Listas!$C$47,IF(W372=[12]Listas!$B$48,[12]Listas!$C$48,"")))</f>
        <v>0.25</v>
      </c>
      <c r="Y372" s="315" t="str">
        <f>IF(OR(W372=[12]Listas!$F$53,W372=[12]Listas!$F$54),[12]Listas!$G$53,IF(W372=[12]Listas!$F$55,[12]Listas!$G$55,""))</f>
        <v>Probabilidad</v>
      </c>
      <c r="Z372" s="313" t="s">
        <v>43</v>
      </c>
      <c r="AA372" s="314">
        <f>+IF(Z372=[12]Listas!$E$46,[12]Listas!$F$46,IF(Z372=[12]Listas!$E$47,[12]Listas!$F$47,""))</f>
        <v>0.15</v>
      </c>
      <c r="AB372" s="181">
        <f>IFERROR(X372+AA372,"")</f>
        <v>0.4</v>
      </c>
      <c r="AC372" s="313" t="s">
        <v>57</v>
      </c>
      <c r="AD372" s="316" t="s">
        <v>58</v>
      </c>
      <c r="AE372" s="317" t="s">
        <v>59</v>
      </c>
      <c r="AF372" s="299" t="str">
        <f t="shared" si="51"/>
        <v>Baja</v>
      </c>
      <c r="AG372" s="141">
        <f>IF(Y372=[12]Listas!$G$53,O372-(O372*AB372),O372)</f>
        <v>0.36</v>
      </c>
      <c r="AH372" s="561">
        <f>+IF(AG381="","",AG381)</f>
        <v>0.12959999999999999</v>
      </c>
      <c r="AI372" s="299" t="str">
        <f>IF(AJ372="","",IF(AJ372&lt;=20%,"Leve",IF(AJ372&lt;=40%,"Menor",IF(AJ372&lt;=60%,"Moderado",IF(AJ372&lt;=80%,"Mayor","Catastrófico")))))</f>
        <v>Moderado</v>
      </c>
      <c r="AJ372" s="141">
        <f>IF(Y372=[12]Listas!$G$55,R372-(R372*AB372),R372)</f>
        <v>0.6</v>
      </c>
      <c r="AK372" s="561">
        <f>+IF(AJ381="","",AJ381)</f>
        <v>0.6</v>
      </c>
      <c r="AL372" s="564" t="str">
        <f>+IF(AH372=0,"",IF(AH372&lt;=$BA$21,$BB$21,IF(AH372&lt;=$BA$20,$BB$20,IF(AH372&lt;=$BA$19,$BB$19,IF(AH372&lt;=$BA$18,$BB$18,IF(AH372&lt;=$BA$17,$BB$17,""))))))</f>
        <v>Muy Baja</v>
      </c>
      <c r="AM372" s="564" t="str">
        <f>+IF(AK372=0,"",IF(AK372&lt;=$BC$15,$BC$16,IF(AK372&lt;=$BD$15,$BD$16,IF(AK372&lt;=$BE$15,$BE$16,IF(AK372&lt;=$BF$15,$BF$16,IF(AK372&lt;=$BG$15,$BG$16,""))))))</f>
        <v>Moderado</v>
      </c>
      <c r="AN372" s="564" t="str">
        <f>IF(AL372=$BB$17,IF(AM372=$BC$16,$BC$17,IF(AM372=$BD$16,$BD$17,IF(AM372=$BE$16,$BE$17,IF(AM372=$BF$16,$BF$17,IF(AM372=$BG$16,$BG$17))))),IF(AL372=$BB$18,IF(AM372=$BC$16,$BC$18,IF(AM372=$BD$16,$BD$18,IF(AM372=$BE$16,$BE$18,IF(AM372=$BF$16,$BF$18,IF(AM372=$BG$16,$BG$18))))),IF(AL372=$BB$19,IF(AM372=$BC$16,$BC$19,IF(AM372=$BD$16,$BD$19,IF(AM372=$BE$16,$BE$19,IF(AM372=$BF$16,$BF$19,IF(AM372=$BG$16,$BG$19))))),IF(AL372=$BB$20,IF(AM372=$BC$16,$BC$20,IF(AM372=$BD$16,$BD$20,IF(AM372=$BE$16,$BE$20,IF(AM372=$BF$16,$BF$20,IF(AM372=$BG$16,$BG$20))))),IF(AL372=$BB$21,IF(AM372=$BC$16,$BC$21,IF(AM372=$BD$16,$BD$21,IF(AM372=$BE$16,$BE$21,IF(AM372=$BF$16,$BF$21,IF(AM372=$BG$16,$BG$21))))),"")))))</f>
        <v>Moderado</v>
      </c>
      <c r="AO372" s="567" t="str">
        <f>IF(AP372="","",IF(AP372=[12]Listas!$F$61,[12]Listas!$G$61,IF(AP372=[12]Listas!$F$63,[12]Listas!$G$63,IF(AP372=[12]Listas!$F$64,[12]Listas!$G$64))))</f>
        <v>Requiere Plan de Acción</v>
      </c>
      <c r="AP372" s="570" t="str">
        <f>IF(AN372="","",IF(OR(AN372=[12]Listas!$E$61,AN372=[12]Listas!$E$62),[12]Listas!$F$61,IF(AN372=[12]Listas!$E$63,[12]Listas!$F$63,IF(AN372=[12]Listas!$E$64,[12]Listas!$F$64))))</f>
        <v>Aceptar o reducir el riesgo</v>
      </c>
      <c r="AQ372" s="318" t="s">
        <v>80</v>
      </c>
      <c r="AR372" s="236" t="s">
        <v>560</v>
      </c>
    </row>
    <row r="373" spans="2:70" ht="138" customHeight="1" thickTop="1" thickBot="1" x14ac:dyDescent="0.4">
      <c r="B373" s="537"/>
      <c r="C373" s="559"/>
      <c r="D373" s="610"/>
      <c r="E373" s="577"/>
      <c r="F373" s="866"/>
      <c r="G373" s="583"/>
      <c r="H373" s="655"/>
      <c r="I373" s="589"/>
      <c r="J373" s="589"/>
      <c r="K373" s="592"/>
      <c r="L373" s="589"/>
      <c r="M373" s="595"/>
      <c r="N373" s="598"/>
      <c r="O373" s="601"/>
      <c r="P373" s="595"/>
      <c r="Q373" s="604"/>
      <c r="R373" s="601"/>
      <c r="S373" s="286"/>
      <c r="T373" s="607"/>
      <c r="U373" s="142" t="s">
        <v>174</v>
      </c>
      <c r="V373" s="469" t="s">
        <v>561</v>
      </c>
      <c r="W373" s="378" t="s">
        <v>40</v>
      </c>
      <c r="X373" s="320">
        <f>IF(W373=[12]Listas!$B$46,[12]Listas!$C$46,IF(W373=[12]Listas!$B$47,[12]Listas!$C$47,IF(W373=[12]Listas!$B$48,[12]Listas!$C$48,"")))</f>
        <v>0.25</v>
      </c>
      <c r="Y373" s="321" t="str">
        <f>IF(OR(W373=[12]Listas!$F$53,W373=[12]Listas!$F$54),[12]Listas!$G$53,IF(W373=[12]Listas!$F$55,[12]Listas!$G$55,""))</f>
        <v>Probabilidad</v>
      </c>
      <c r="Z373" s="319" t="s">
        <v>43</v>
      </c>
      <c r="AA373" s="182">
        <f>+IF(Z373=[12]Listas!$E$46,[12]Listas!$F$46,IF(Z373=[12]Listas!$E$47,[12]Listas!$F$47,""))</f>
        <v>0.15</v>
      </c>
      <c r="AB373" s="183">
        <f>IFERROR(X373+AA373,"")</f>
        <v>0.4</v>
      </c>
      <c r="AC373" s="319" t="s">
        <v>57</v>
      </c>
      <c r="AD373" s="322" t="s">
        <v>58</v>
      </c>
      <c r="AE373" s="323" t="s">
        <v>59</v>
      </c>
      <c r="AF373" s="305" t="str">
        <f t="shared" si="51"/>
        <v>Baja</v>
      </c>
      <c r="AG373" s="145">
        <f>IF(Y373=[12]Listas!$G$53,AG372-(AG372*AB373),AG372)</f>
        <v>0.216</v>
      </c>
      <c r="AH373" s="562"/>
      <c r="AI373" s="305" t="str">
        <f t="shared" si="55"/>
        <v>Moderado</v>
      </c>
      <c r="AJ373" s="145">
        <f>IF(Y373=[12]Listas!$G$55,AJ372-(AJ372*AB373),AJ372)</f>
        <v>0.6</v>
      </c>
      <c r="AK373" s="562"/>
      <c r="AL373" s="565"/>
      <c r="AM373" s="565"/>
      <c r="AN373" s="565"/>
      <c r="AO373" s="568"/>
      <c r="AP373" s="571"/>
      <c r="AQ373" s="324" t="s">
        <v>90</v>
      </c>
      <c r="AR373" s="237" t="s">
        <v>562</v>
      </c>
    </row>
    <row r="374" spans="2:70" ht="109.5" customHeight="1" thickTop="1" thickBot="1" x14ac:dyDescent="0.4">
      <c r="B374" s="537"/>
      <c r="C374" s="559"/>
      <c r="D374" s="610"/>
      <c r="E374" s="577"/>
      <c r="F374" s="866"/>
      <c r="G374" s="583"/>
      <c r="H374" s="655"/>
      <c r="I374" s="589"/>
      <c r="J374" s="589"/>
      <c r="K374" s="592"/>
      <c r="L374" s="589"/>
      <c r="M374" s="595"/>
      <c r="N374" s="598"/>
      <c r="O374" s="601"/>
      <c r="P374" s="595"/>
      <c r="Q374" s="604"/>
      <c r="R374" s="601"/>
      <c r="S374" s="287"/>
      <c r="T374" s="607"/>
      <c r="U374" s="142" t="s">
        <v>180</v>
      </c>
      <c r="V374" s="469" t="s">
        <v>563</v>
      </c>
      <c r="W374" s="378" t="s">
        <v>40</v>
      </c>
      <c r="X374" s="320">
        <f>IF(W374=[12]Listas!$B$46,[12]Listas!$C$46,IF(W374=[12]Listas!$B$47,[12]Listas!$C$47,IF(W374=[12]Listas!$B$48,[12]Listas!$C$48,"")))</f>
        <v>0.25</v>
      </c>
      <c r="Y374" s="321" t="str">
        <f>IF(OR(W374=[12]Listas!$F$53,W374=[12]Listas!$F$54),[12]Listas!$G$53,IF(W374=[12]Listas!$F$55,[12]Listas!$G$55,""))</f>
        <v>Probabilidad</v>
      </c>
      <c r="Z374" s="319" t="s">
        <v>43</v>
      </c>
      <c r="AA374" s="182">
        <f>+IF(Z374=[12]Listas!$E$46,[12]Listas!$F$46,IF(Z374=[12]Listas!$E$47,[12]Listas!$F$47,""))</f>
        <v>0.15</v>
      </c>
      <c r="AB374" s="183">
        <f>IFERROR(X374+AA374,"")</f>
        <v>0.4</v>
      </c>
      <c r="AC374" s="325" t="s">
        <v>57</v>
      </c>
      <c r="AD374" s="326" t="s">
        <v>58</v>
      </c>
      <c r="AE374" s="327" t="s">
        <v>59</v>
      </c>
      <c r="AF374" s="305" t="str">
        <f t="shared" si="51"/>
        <v>Muy baja</v>
      </c>
      <c r="AG374" s="145">
        <f>IF(Y374=[12]Listas!$G$53,AG373-(AG373*AB374),AG373)</f>
        <v>0.12959999999999999</v>
      </c>
      <c r="AH374" s="562"/>
      <c r="AI374" s="305" t="str">
        <f t="shared" si="55"/>
        <v>Moderado</v>
      </c>
      <c r="AJ374" s="145">
        <f>IF(Y374=[12]Listas!$G$55,AJ373-(AJ373*AB374),AJ373)</f>
        <v>0.6</v>
      </c>
      <c r="AK374" s="562"/>
      <c r="AL374" s="565"/>
      <c r="AM374" s="565"/>
      <c r="AN374" s="565"/>
      <c r="AO374" s="568"/>
      <c r="AP374" s="571"/>
      <c r="AQ374" s="324"/>
      <c r="AR374" s="184"/>
    </row>
    <row r="375" spans="2:70" ht="15" hidden="1" customHeight="1" x14ac:dyDescent="0.35">
      <c r="B375" s="537"/>
      <c r="C375" s="559"/>
      <c r="D375" s="610"/>
      <c r="E375" s="577"/>
      <c r="F375" s="866"/>
      <c r="G375" s="583"/>
      <c r="H375" s="655"/>
      <c r="I375" s="589"/>
      <c r="J375" s="589"/>
      <c r="K375" s="592"/>
      <c r="L375" s="589"/>
      <c r="M375" s="595"/>
      <c r="N375" s="598"/>
      <c r="O375" s="601"/>
      <c r="P375" s="595"/>
      <c r="Q375" s="604"/>
      <c r="R375" s="601"/>
      <c r="S375" s="287"/>
      <c r="T375" s="607"/>
      <c r="U375" s="142" t="s">
        <v>190</v>
      </c>
      <c r="V375" s="441"/>
      <c r="W375" s="319"/>
      <c r="X375" s="320" t="str">
        <f>IF(W375=[12]Listas!$B$46,[12]Listas!$C$46,IF(W375=[12]Listas!$B$47,[12]Listas!$C$47,IF(W375=[12]Listas!$B$48,[12]Listas!$C$48,"")))</f>
        <v/>
      </c>
      <c r="Y375" s="321" t="str">
        <f>IF(OR(W375=[12]Listas!$F$53,W375=[12]Listas!$F$54),[12]Listas!$G$53,IF(W375=[12]Listas!$F$55,[12]Listas!$G$55,""))</f>
        <v/>
      </c>
      <c r="Z375" s="319"/>
      <c r="AA375" s="182" t="str">
        <f>+IF(Z375=[12]Listas!$E$46,[12]Listas!$F$46,IF(Z375=[12]Listas!$E$47,[12]Listas!$F$47,""))</f>
        <v/>
      </c>
      <c r="AB375" s="183" t="str">
        <f t="shared" ref="AB375:AB381" si="57">IFERROR(X375+AA375,"")</f>
        <v/>
      </c>
      <c r="AC375" s="328"/>
      <c r="AD375" s="329"/>
      <c r="AE375" s="330"/>
      <c r="AF375" s="305" t="str">
        <f t="shared" si="51"/>
        <v>Muy baja</v>
      </c>
      <c r="AG375" s="145">
        <f>IF(Y375=[12]Listas!$G$53,AG374-(AG374*AB375),AG374)</f>
        <v>0.12959999999999999</v>
      </c>
      <c r="AH375" s="562"/>
      <c r="AI375" s="305" t="str">
        <f t="shared" si="55"/>
        <v>Moderado</v>
      </c>
      <c r="AJ375" s="145">
        <f>IF(Y375=[12]Listas!$G$55,AJ374-(AJ374*AB375),AJ374)</f>
        <v>0.6</v>
      </c>
      <c r="AK375" s="562"/>
      <c r="AL375" s="565"/>
      <c r="AM375" s="565"/>
      <c r="AN375" s="565"/>
      <c r="AO375" s="568"/>
      <c r="AP375" s="571"/>
      <c r="AQ375" s="324"/>
      <c r="AR375" s="185"/>
    </row>
    <row r="376" spans="2:70" ht="15" hidden="1" customHeight="1" x14ac:dyDescent="0.35">
      <c r="B376" s="537"/>
      <c r="C376" s="559"/>
      <c r="D376" s="610"/>
      <c r="E376" s="577"/>
      <c r="F376" s="866"/>
      <c r="G376" s="583"/>
      <c r="H376" s="655"/>
      <c r="I376" s="589"/>
      <c r="J376" s="589"/>
      <c r="K376" s="592"/>
      <c r="L376" s="589"/>
      <c r="M376" s="595"/>
      <c r="N376" s="598"/>
      <c r="O376" s="601"/>
      <c r="P376" s="595"/>
      <c r="Q376" s="604"/>
      <c r="R376" s="601"/>
      <c r="S376" s="287"/>
      <c r="T376" s="607"/>
      <c r="U376" s="142" t="s">
        <v>198</v>
      </c>
      <c r="V376" s="415"/>
      <c r="W376" s="331"/>
      <c r="X376" s="320" t="str">
        <f>IF(W376=[12]Listas!$B$46,[12]Listas!$C$46,IF(W376=[12]Listas!$B$47,[12]Listas!$C$47,IF(W376=[12]Listas!$B$48,[12]Listas!$C$48,"")))</f>
        <v/>
      </c>
      <c r="Y376" s="321" t="str">
        <f>IF(OR(W376=[12]Listas!$F$53,W376=[12]Listas!$F$54),[12]Listas!$G$53,IF(W376=[12]Listas!$F$55,[12]Listas!$G$55,""))</f>
        <v/>
      </c>
      <c r="Z376" s="331"/>
      <c r="AA376" s="182" t="str">
        <f>+IF(Z376=[12]Listas!$E$46,[12]Listas!$F$46,IF(Z376=[12]Listas!$E$47,[12]Listas!$F$47,""))</f>
        <v/>
      </c>
      <c r="AB376" s="183" t="str">
        <f t="shared" si="57"/>
        <v/>
      </c>
      <c r="AC376" s="319"/>
      <c r="AD376" s="322"/>
      <c r="AE376" s="323"/>
      <c r="AF376" s="305" t="str">
        <f t="shared" si="51"/>
        <v>Muy baja</v>
      </c>
      <c r="AG376" s="145">
        <f>IF(Y376=[12]Listas!$G$53,AG375-(AG375*AB376),AG375)</f>
        <v>0.12959999999999999</v>
      </c>
      <c r="AH376" s="562"/>
      <c r="AI376" s="305" t="str">
        <f t="shared" si="55"/>
        <v>Moderado</v>
      </c>
      <c r="AJ376" s="145">
        <f>IF(Y376=[12]Listas!$G$55,AJ375-(AJ375*AB376),AJ375)</f>
        <v>0.6</v>
      </c>
      <c r="AK376" s="562"/>
      <c r="AL376" s="565"/>
      <c r="AM376" s="565"/>
      <c r="AN376" s="565"/>
      <c r="AO376" s="568"/>
      <c r="AP376" s="571"/>
      <c r="AQ376" s="324"/>
      <c r="AR376" s="185"/>
    </row>
    <row r="377" spans="2:70" ht="15.75" hidden="1" customHeight="1" x14ac:dyDescent="0.35">
      <c r="B377" s="537"/>
      <c r="C377" s="559"/>
      <c r="D377" s="610"/>
      <c r="E377" s="577"/>
      <c r="F377" s="866"/>
      <c r="G377" s="583"/>
      <c r="H377" s="655"/>
      <c r="I377" s="589"/>
      <c r="J377" s="589"/>
      <c r="K377" s="592"/>
      <c r="L377" s="589"/>
      <c r="M377" s="595"/>
      <c r="N377" s="598"/>
      <c r="O377" s="601"/>
      <c r="P377" s="595"/>
      <c r="Q377" s="604"/>
      <c r="R377" s="601"/>
      <c r="S377" s="288"/>
      <c r="T377" s="607"/>
      <c r="U377" s="142" t="s">
        <v>208</v>
      </c>
      <c r="V377" s="415"/>
      <c r="W377" s="331"/>
      <c r="X377" s="320" t="str">
        <f>IF(W377=[12]Listas!$B$46,[12]Listas!$C$46,IF(W377=[12]Listas!$B$47,[12]Listas!$C$47,IF(W377=[12]Listas!$B$48,[12]Listas!$C$48,"")))</f>
        <v/>
      </c>
      <c r="Y377" s="321" t="str">
        <f>IF(OR(W377=[12]Listas!$F$53,W377=[12]Listas!$F$54),[12]Listas!$G$53,IF(W377=[12]Listas!$F$55,[12]Listas!$G$55,""))</f>
        <v/>
      </c>
      <c r="Z377" s="331"/>
      <c r="AA377" s="182" t="str">
        <f>+IF(Z377=[12]Listas!$E$46,[12]Listas!$F$46,IF(Z377=[12]Listas!$E$47,[12]Listas!$F$47,""))</f>
        <v/>
      </c>
      <c r="AB377" s="183" t="str">
        <f t="shared" si="57"/>
        <v/>
      </c>
      <c r="AC377" s="319"/>
      <c r="AD377" s="322"/>
      <c r="AE377" s="323"/>
      <c r="AF377" s="305" t="str">
        <f t="shared" si="51"/>
        <v>Muy baja</v>
      </c>
      <c r="AG377" s="145">
        <f>IF(Y377=[12]Listas!$G$53,AG376-(AG376*AB377),AG376)</f>
        <v>0.12959999999999999</v>
      </c>
      <c r="AH377" s="562"/>
      <c r="AI377" s="305" t="str">
        <f t="shared" si="55"/>
        <v>Moderado</v>
      </c>
      <c r="AJ377" s="145">
        <f>IF(Y377=[12]Listas!$G$55,AJ376-(AJ376*AB377),AJ376)</f>
        <v>0.6</v>
      </c>
      <c r="AK377" s="562"/>
      <c r="AL377" s="565"/>
      <c r="AM377" s="565"/>
      <c r="AN377" s="565"/>
      <c r="AO377" s="568"/>
      <c r="AP377" s="571"/>
      <c r="AQ377" s="332"/>
      <c r="AR377" s="185"/>
    </row>
    <row r="378" spans="2:70" ht="15" hidden="1" customHeight="1" x14ac:dyDescent="0.35">
      <c r="B378" s="537"/>
      <c r="C378" s="559"/>
      <c r="D378" s="610"/>
      <c r="E378" s="577"/>
      <c r="F378" s="866"/>
      <c r="G378" s="583"/>
      <c r="H378" s="655"/>
      <c r="I378" s="589"/>
      <c r="J378" s="589"/>
      <c r="K378" s="592"/>
      <c r="L378" s="589"/>
      <c r="M378" s="595"/>
      <c r="N378" s="598"/>
      <c r="O378" s="601"/>
      <c r="P378" s="595"/>
      <c r="Q378" s="604"/>
      <c r="R378" s="601"/>
      <c r="S378" s="289"/>
      <c r="T378" s="607"/>
      <c r="U378" s="142" t="s">
        <v>215</v>
      </c>
      <c r="V378" s="415"/>
      <c r="W378" s="331"/>
      <c r="X378" s="320" t="str">
        <f>IF(W378=[12]Listas!$B$46,[12]Listas!$C$46,IF(W378=[12]Listas!$B$47,[12]Listas!$C$47,IF(W378=[12]Listas!$B$48,[12]Listas!$C$48,"")))</f>
        <v/>
      </c>
      <c r="Y378" s="321" t="str">
        <f>IF(OR(W378=[12]Listas!$F$53,W378=[12]Listas!$F$54),[12]Listas!$G$53,IF(W378=[12]Listas!$F$55,[12]Listas!$G$55,""))</f>
        <v/>
      </c>
      <c r="Z378" s="331"/>
      <c r="AA378" s="182" t="str">
        <f>+IF(Z378=[12]Listas!$E$46,[12]Listas!$F$46,IF(Z378=[12]Listas!$E$47,[12]Listas!$F$47,""))</f>
        <v/>
      </c>
      <c r="AB378" s="183" t="str">
        <f t="shared" si="57"/>
        <v/>
      </c>
      <c r="AC378" s="319"/>
      <c r="AD378" s="322"/>
      <c r="AE378" s="323"/>
      <c r="AF378" s="305" t="str">
        <f t="shared" si="51"/>
        <v>Muy baja</v>
      </c>
      <c r="AG378" s="145">
        <f>IF(Y378=[12]Listas!$G$53,AG377-(AG377*AB378),AG377)</f>
        <v>0.12959999999999999</v>
      </c>
      <c r="AH378" s="562"/>
      <c r="AI378" s="305" t="str">
        <f t="shared" si="55"/>
        <v>Moderado</v>
      </c>
      <c r="AJ378" s="145">
        <f>IF(Y378=[12]Listas!$G$55,AJ377-(AJ377*AB378),AJ377)</f>
        <v>0.6</v>
      </c>
      <c r="AK378" s="562"/>
      <c r="AL378" s="565"/>
      <c r="AM378" s="565"/>
      <c r="AN378" s="565"/>
      <c r="AO378" s="568"/>
      <c r="AP378" s="571"/>
      <c r="AQ378" s="333"/>
      <c r="AR378" s="185"/>
    </row>
    <row r="379" spans="2:70" ht="15" hidden="1" customHeight="1" x14ac:dyDescent="0.35">
      <c r="B379" s="537"/>
      <c r="C379" s="559"/>
      <c r="D379" s="610"/>
      <c r="E379" s="577"/>
      <c r="F379" s="866"/>
      <c r="G379" s="583"/>
      <c r="H379" s="655"/>
      <c r="I379" s="589"/>
      <c r="J379" s="589"/>
      <c r="K379" s="592"/>
      <c r="L379" s="589"/>
      <c r="M379" s="595"/>
      <c r="N379" s="598"/>
      <c r="O379" s="601"/>
      <c r="P379" s="595"/>
      <c r="Q379" s="604"/>
      <c r="R379" s="601"/>
      <c r="S379" s="289"/>
      <c r="T379" s="607"/>
      <c r="U379" s="142" t="s">
        <v>220</v>
      </c>
      <c r="V379" s="415"/>
      <c r="W379" s="331"/>
      <c r="X379" s="320" t="str">
        <f>IF(W379=[12]Listas!$B$46,[12]Listas!$C$46,IF(W379=[12]Listas!$B$47,[12]Listas!$C$47,IF(W379=[12]Listas!$B$48,[12]Listas!$C$48,"")))</f>
        <v/>
      </c>
      <c r="Y379" s="321" t="str">
        <f>IF(OR(W379=[12]Listas!$F$53,W379=[12]Listas!$F$54),[12]Listas!$G$53,IF(W379=[12]Listas!$F$55,[12]Listas!$G$55,""))</f>
        <v/>
      </c>
      <c r="Z379" s="331"/>
      <c r="AA379" s="182" t="str">
        <f>+IF(Z379=[12]Listas!$E$46,[12]Listas!$F$46,IF(Z379=[12]Listas!$E$47,[12]Listas!$F$47,""))</f>
        <v/>
      </c>
      <c r="AB379" s="183" t="str">
        <f t="shared" si="57"/>
        <v/>
      </c>
      <c r="AC379" s="319"/>
      <c r="AD379" s="322"/>
      <c r="AE379" s="323"/>
      <c r="AF379" s="305" t="str">
        <f t="shared" si="51"/>
        <v>Muy baja</v>
      </c>
      <c r="AG379" s="145">
        <f>IF(Y379=[12]Listas!$G$53,AG378-(AG378*AB379),AG378)</f>
        <v>0.12959999999999999</v>
      </c>
      <c r="AH379" s="562"/>
      <c r="AI379" s="305" t="str">
        <f t="shared" si="55"/>
        <v>Moderado</v>
      </c>
      <c r="AJ379" s="145">
        <f>IF(Y379=[12]Listas!$G$55,AJ378-(AJ378*AB379),AJ378)</f>
        <v>0.6</v>
      </c>
      <c r="AK379" s="562"/>
      <c r="AL379" s="565"/>
      <c r="AM379" s="565"/>
      <c r="AN379" s="565"/>
      <c r="AO379" s="568"/>
      <c r="AP379" s="571"/>
      <c r="AQ379" s="334"/>
      <c r="AR379" s="185"/>
    </row>
    <row r="380" spans="2:70" ht="15" hidden="1" customHeight="1" x14ac:dyDescent="0.35">
      <c r="B380" s="537"/>
      <c r="C380" s="559"/>
      <c r="D380" s="610"/>
      <c r="E380" s="577"/>
      <c r="F380" s="866"/>
      <c r="G380" s="583"/>
      <c r="H380" s="655"/>
      <c r="I380" s="589"/>
      <c r="J380" s="589"/>
      <c r="K380" s="592"/>
      <c r="L380" s="589"/>
      <c r="M380" s="595"/>
      <c r="N380" s="598"/>
      <c r="O380" s="601"/>
      <c r="P380" s="595"/>
      <c r="Q380" s="604"/>
      <c r="R380" s="601"/>
      <c r="S380" s="289"/>
      <c r="T380" s="607"/>
      <c r="U380" s="142" t="s">
        <v>223</v>
      </c>
      <c r="V380" s="415"/>
      <c r="W380" s="331"/>
      <c r="X380" s="320" t="str">
        <f>IF(W380=[12]Listas!$B$46,[12]Listas!$C$46,IF(W380=[12]Listas!$B$47,[12]Listas!$C$47,IF(W380=[12]Listas!$B$48,[12]Listas!$C$48,"")))</f>
        <v/>
      </c>
      <c r="Y380" s="321" t="str">
        <f>IF(OR(W380=[12]Listas!$F$53,W380=[12]Listas!$F$54),[12]Listas!$G$53,IF(W380=[12]Listas!$F$55,[12]Listas!$G$55,""))</f>
        <v/>
      </c>
      <c r="Z380" s="331"/>
      <c r="AA380" s="182" t="str">
        <f>+IF(Z380=[12]Listas!$E$46,[12]Listas!$F$46,IF(Z380=[12]Listas!$E$47,[12]Listas!$F$47,""))</f>
        <v/>
      </c>
      <c r="AB380" s="183" t="str">
        <f t="shared" si="57"/>
        <v/>
      </c>
      <c r="AC380" s="319"/>
      <c r="AD380" s="322"/>
      <c r="AE380" s="323"/>
      <c r="AF380" s="305" t="str">
        <f t="shared" si="51"/>
        <v>Muy baja</v>
      </c>
      <c r="AG380" s="145">
        <f>IF(Y380=[12]Listas!$G$53,AG379-(AG379*AB380),AG379)</f>
        <v>0.12959999999999999</v>
      </c>
      <c r="AH380" s="562"/>
      <c r="AI380" s="305" t="str">
        <f t="shared" si="55"/>
        <v>Moderado</v>
      </c>
      <c r="AJ380" s="145">
        <f>IF(Y380=[12]Listas!$G$55,AJ379-(AJ379*AB380),AJ379)</f>
        <v>0.6</v>
      </c>
      <c r="AK380" s="562"/>
      <c r="AL380" s="565"/>
      <c r="AM380" s="565"/>
      <c r="AN380" s="565"/>
      <c r="AO380" s="568"/>
      <c r="AP380" s="571"/>
      <c r="AQ380" s="324"/>
      <c r="AR380" s="185"/>
    </row>
    <row r="381" spans="2:70" ht="15.75" hidden="1" customHeight="1" x14ac:dyDescent="0.35">
      <c r="B381" s="537"/>
      <c r="C381" s="559"/>
      <c r="D381" s="611"/>
      <c r="E381" s="578"/>
      <c r="F381" s="867"/>
      <c r="G381" s="584"/>
      <c r="H381" s="656"/>
      <c r="I381" s="590"/>
      <c r="J381" s="590"/>
      <c r="K381" s="593"/>
      <c r="L381" s="590"/>
      <c r="M381" s="596"/>
      <c r="N381" s="599"/>
      <c r="O381" s="602"/>
      <c r="P381" s="596"/>
      <c r="Q381" s="605"/>
      <c r="R381" s="602"/>
      <c r="S381" s="293"/>
      <c r="T381" s="608"/>
      <c r="U381" s="202" t="s">
        <v>224</v>
      </c>
      <c r="V381" s="416"/>
      <c r="W381" s="335"/>
      <c r="X381" s="336" t="str">
        <f>IF(W381=[12]Listas!$B$46,[12]Listas!$C$46,IF(W381=[12]Listas!$B$47,[12]Listas!$C$47,IF(W381=[12]Listas!$B$48,[12]Listas!$C$48,"")))</f>
        <v/>
      </c>
      <c r="Y381" s="337" t="str">
        <f>IF(OR(W381=[12]Listas!$F$53,W381=[12]Listas!$F$54),[12]Listas!$G$53,IF(W381=[12]Listas!$F$55,[12]Listas!$G$55,""))</f>
        <v/>
      </c>
      <c r="Z381" s="335"/>
      <c r="AA381" s="186" t="str">
        <f>+IF(Z381=[12]Listas!$E$46,[12]Listas!$F$46,IF(Z381=[12]Listas!$E$47,[12]Listas!$F$47,""))</f>
        <v/>
      </c>
      <c r="AB381" s="187" t="str">
        <f t="shared" si="57"/>
        <v/>
      </c>
      <c r="AC381" s="338"/>
      <c r="AD381" s="339"/>
      <c r="AE381" s="340"/>
      <c r="AF381" s="311" t="str">
        <f t="shared" si="51"/>
        <v>Muy baja</v>
      </c>
      <c r="AG381" s="179">
        <f>IF(Y381=[12]Listas!$G$53,AG380-(AG380*AB381),AG380)</f>
        <v>0.12959999999999999</v>
      </c>
      <c r="AH381" s="563"/>
      <c r="AI381" s="311" t="str">
        <f t="shared" si="55"/>
        <v>Moderado</v>
      </c>
      <c r="AJ381" s="179">
        <f>IF(Y381=[12]Listas!$G$55,AJ380-(AJ380*AB381),AJ380)</f>
        <v>0.6</v>
      </c>
      <c r="AK381" s="563"/>
      <c r="AL381" s="566"/>
      <c r="AM381" s="566"/>
      <c r="AN381" s="566"/>
      <c r="AO381" s="569"/>
      <c r="AP381" s="572"/>
      <c r="AQ381" s="341"/>
      <c r="AR381" s="188"/>
    </row>
    <row r="382" spans="2:70" ht="150.75" customHeight="1" thickTop="1" thickBot="1" x14ac:dyDescent="0.4">
      <c r="B382" s="537"/>
      <c r="C382" s="559"/>
      <c r="D382" s="609" t="s">
        <v>564</v>
      </c>
      <c r="E382" s="576" t="s">
        <v>5</v>
      </c>
      <c r="F382" s="579" t="s">
        <v>524</v>
      </c>
      <c r="G382" s="582" t="s">
        <v>525</v>
      </c>
      <c r="H382" s="585" t="s">
        <v>526</v>
      </c>
      <c r="I382" s="588" t="s">
        <v>28</v>
      </c>
      <c r="J382" s="588" t="s">
        <v>22</v>
      </c>
      <c r="K382" s="591" t="s">
        <v>527</v>
      </c>
      <c r="L382" s="588" t="s">
        <v>186</v>
      </c>
      <c r="M382" s="594" t="s">
        <v>207</v>
      </c>
      <c r="N382" s="597" t="str">
        <f>+IF(M382="","",IF(M382=$BO$15,$BN$15,IF(M382=$BO$16,$BN$16,IF(M382=$BO$17,$BN$17,IF(M382=$BO$18,$BN$18,IF(M382=$BO$19,$BN$19))))))</f>
        <v>Baja</v>
      </c>
      <c r="O382" s="600">
        <f>+IF(M382="","",IF(M382=$BO$15,$BR$15,IF(M382=$BO$16,$BR$16,IF(M382=$BO$17,$BR$17,IF(M382=$BO$18,$BR$18,IF(M382=$BO$19,$BR$19))))))</f>
        <v>0.4</v>
      </c>
      <c r="P382" s="594" t="s">
        <v>212</v>
      </c>
      <c r="Q382" s="603" t="str">
        <f>+IF(P382="","",IF(P382='[12]Mapa de Calor inherente'!$AF$6,'[12]Mapa de Calor inherente'!$AD$6,IF(P382='[12]Mapa de Calor inherente'!$AF$7,'[12]Mapa de Calor inherente'!$AD$7,IF(P382='[12]Mapa de Calor inherente'!$AF$8,'[12]Mapa de Calor inherente'!$AD$8,IF(P382='[12]Mapa de Calor inherente'!$AF$9,'[12]Mapa de Calor inherente'!$AD$9,IF(P382='[12]Mapa de Calor inherente'!$AF$10,'[12]Mapa de Calor inherente'!$AD$10,IF(P382='[12]Mapa de Calor inherente'!$AG$6,'[12]Mapa de Calor inherente'!$AD$6,IF(P382='[12]Mapa de Calor inherente'!$AG$7,'[12]Mapa de Calor inherente'!$AD$7,IF(P382='[12]Mapa de Calor inherente'!$AG$8,'[12]Mapa de Calor inherente'!$AD$8,IF(P382='[12]Mapa de Calor inherente'!$AG$9,'[12]Mapa de Calor inherente'!$AD$9,IF(P382='[12]Mapa de Calor inherente'!$AG$10,'[12]Mapa de Calor inherente'!$AD$10,IF(P382='[12]Mapa de Calor inherente'!$AD$8,'[12]Mapa de Calor inherente'!$AD$8,IF(P382='[12]Mapa de Calor inherente'!$AD$9,'[12]Mapa de Calor inherente'!$AD$9,IF(P382='[12]Mapa de Calor inherente'!$AD$10,'[12]Mapa de Calor inherente'!$AD$10))))))))))))))</f>
        <v>Moderado</v>
      </c>
      <c r="R382" s="600">
        <f>+IF(P382="","",IF(P382='[12]Mapa de Calor inherente'!$AF$6,'[12]Mapa de Calor inherente'!$AE$6,IF(P382='[12]Mapa de Calor inherente'!$AF$7,'[12]Mapa de Calor inherente'!$AE$7,IF(P382='[12]Mapa de Calor inherente'!$AF$8,'[12]Mapa de Calor inherente'!$AE$8,IF(P382='[12]Mapa de Calor inherente'!$AF$9,'[12]Mapa de Calor inherente'!$AE$9,IF(P382='[12]Mapa de Calor inherente'!$AF$10,'[12]Mapa de Calor inherente'!$AE$10,IF(P382='[12]Mapa de Calor inherente'!$AG$6,'[12]Mapa de Calor inherente'!$AE$6,IF(P382='[12]Mapa de Calor inherente'!$AG$7,'[12]Mapa de Calor inherente'!$AE$7,IF(P382='[12]Mapa de Calor inherente'!$AG$8,'[12]Mapa de Calor inherente'!$AE$8,IF(P382='[12]Mapa de Calor inherente'!$AG$9,'[12]Mapa de Calor inherente'!$AE$9,IF(P382='[12]Mapa de Calor inherente'!$AG$10,'[12]Mapa de Calor inherente'!$AE$10,IF(P382='[12]Mapa de Calor inherente'!$AD$8,'[12]Mapa de Calor inherente'!$AE$8,IF(P382='[12]Mapa de Calor inherente'!$AD$9,'[12]Mapa de Calor inherente'!$AE$9,IF(P382='[12]Mapa de Calor inherente'!$AD$10,'[12]Mapa de Calor inherente'!$AE$10))))))))))))))</f>
        <v>0.6</v>
      </c>
      <c r="S382" s="292"/>
      <c r="T382" s="603" t="str">
        <f>+IF(N382=$BB$17,IF(Q382=$BC$16,$BC$17,IF(Q382=$BD$16,$BD$17,IF(Q382=$BE$16,$BE$17,IF(Q382=$BF$16,$BF$17,IF(Q382=$BG$16,$BG$17))))),IF(N382=$BB$18,IF(Q382=$BC$16,$BC$18,IF(Q382=$BD$16,$BD$18,IF(Q382=$BE$16,$BE$18,IF(Q382=$BF$16,$BF$18,IF(Q382=$BG$16,$BG$18))))),IF(N382=$BB$19,IF(Q382=$BC$16,$BC$19,IF(Q382=$BD$16,$BD$19,IF(Q382=$BE$16,$BE$19,IF(Q382=$BF$16,$BF$19,IF(Q382=$BG$16,$BG$19))))),IF(N382=$BB$20,IF(Q382=$BC$16,$BC$20,IF(Q382=$BD$16,$BD$20,IF(Q382=$BE$16,$BE$20,IF(Q382=$BF$16,$BF$20,IF(Q382=$BG$16,$BG$20))))),IF(N382=$BB$21,IF(Q382=$BC$16,$BC$21,IF(Q382=$BD$16,$BD$21,IF(Q382=$BE$16,$BE$21,IF(Q382=$BF$16,$BF$21,IF(Q382=$BG$16,$BG$21))))),"")))))</f>
        <v>Moderado</v>
      </c>
      <c r="U382" s="139" t="s">
        <v>171</v>
      </c>
      <c r="V382" s="470" t="s">
        <v>565</v>
      </c>
      <c r="W382" s="313" t="s">
        <v>40</v>
      </c>
      <c r="X382" s="314">
        <f>IF(W382=[12]Listas!$B$46,[12]Listas!$C$46,IF(W382=[12]Listas!$B$47,[12]Listas!$C$47,IF(W382=[12]Listas!$B$48,[12]Listas!$C$48,"")))</f>
        <v>0.25</v>
      </c>
      <c r="Y382" s="315" t="str">
        <f>IF(OR(W382=[12]Listas!$F$53,W382=[12]Listas!$F$54),[12]Listas!$G$53,IF(W382=[12]Listas!$F$55,[12]Listas!$G$55,""))</f>
        <v>Probabilidad</v>
      </c>
      <c r="Z382" s="313" t="s">
        <v>43</v>
      </c>
      <c r="AA382" s="314">
        <f>+IF(Z382=[12]Listas!$E$46,[12]Listas!$F$46,IF(Z382=[12]Listas!$E$47,[12]Listas!$F$47,""))</f>
        <v>0.15</v>
      </c>
      <c r="AB382" s="181">
        <f>IFERROR(X382+AA382,"")</f>
        <v>0.4</v>
      </c>
      <c r="AC382" s="313" t="s">
        <v>57</v>
      </c>
      <c r="AD382" s="313" t="s">
        <v>58</v>
      </c>
      <c r="AE382" s="317" t="s">
        <v>59</v>
      </c>
      <c r="AF382" s="299" t="str">
        <f t="shared" si="51"/>
        <v>Baja</v>
      </c>
      <c r="AG382" s="141">
        <f>IF(Y382=[12]Listas!$G$53,O382-(O382*AB382),O382)</f>
        <v>0.24</v>
      </c>
      <c r="AH382" s="561">
        <f>+IF(AG391="","",AG391)</f>
        <v>0.14399999999999999</v>
      </c>
      <c r="AI382" s="299" t="str">
        <f>IF(AJ382="","",IF(AJ382&lt;=20%,"Leve",IF(AJ382&lt;=40%,"Menor",IF(AJ382&lt;=60%,"Moderado",IF(AJ382&lt;=80%,"Mayor","Catastrófico")))))</f>
        <v>Moderado</v>
      </c>
      <c r="AJ382" s="141">
        <f>IF(Y382=[12]Listas!$G$55,R382-(R382*AB382),R382)</f>
        <v>0.6</v>
      </c>
      <c r="AK382" s="561">
        <f>+IF(AJ391="","",AJ391)</f>
        <v>0.6</v>
      </c>
      <c r="AL382" s="564" t="str">
        <f>+IF(AH382=0,"",IF(AH382&lt;=$BA$21,$BB$21,IF(AH382&lt;=$BA$20,$BB$20,IF(AH382&lt;=$BA$19,$BB$19,IF(AH382&lt;=$BA$18,$BB$18,IF(AH382&lt;=$BA$17,$BB$17,""))))))</f>
        <v>Muy Baja</v>
      </c>
      <c r="AM382" s="564" t="str">
        <f>+IF(AK382=0,"",IF(AK382&lt;=$BC$15,$BC$16,IF(AK382&lt;=$BD$15,$BD$16,IF(AK382&lt;=$BE$15,$BE$16,IF(AK382&lt;=$BF$15,$BF$16,IF(AK382&lt;=$BG$15,$BG$16,""))))))</f>
        <v>Moderado</v>
      </c>
      <c r="AN382" s="564" t="str">
        <f>IF(AL382=$BB$17,IF(AM382=$BC$16,$BC$17,IF(AM382=$BD$16,$BD$17,IF(AM382=$BE$16,$BE$17,IF(AM382=$BF$16,$BF$17,IF(AM382=$BG$16,$BG$17))))),IF(AL382=$BB$18,IF(AM382=$BC$16,$BC$18,IF(AM382=$BD$16,$BD$18,IF(AM382=$BE$16,$BE$18,IF(AM382=$BF$16,$BF$18,IF(AM382=$BG$16,$BG$18))))),IF(AL382=$BB$19,IF(AM382=$BC$16,$BC$19,IF(AM382=$BD$16,$BD$19,IF(AM382=$BE$16,$BE$19,IF(AM382=$BF$16,$BF$19,IF(AM382=$BG$16,$BG$19))))),IF(AL382=$BB$20,IF(AM382=$BC$16,$BC$20,IF(AM382=$BD$16,$BD$20,IF(AM382=$BE$16,$BE$20,IF(AM382=$BF$16,$BF$20,IF(AM382=$BG$16,$BG$20))))),IF(AL382=$BB$21,IF(AM382=$BC$16,$BC$21,IF(AM382=$BD$16,$BD$21,IF(AM382=$BE$16,$BE$21,IF(AM382=$BF$16,$BF$21,IF(AM382=$BG$16,$BG$21))))),"")))))</f>
        <v>Moderado</v>
      </c>
      <c r="AO382" s="567" t="str">
        <f>IF(AP382="","",IF(AP382=[12]Listas!$F$61,[12]Listas!$G$61,IF(AP382=[12]Listas!$F$63,[12]Listas!$G$63,IF(AP382=[12]Listas!$F$64,[12]Listas!$G$64))))</f>
        <v>Requiere Plan de Acción</v>
      </c>
      <c r="AP382" s="570" t="str">
        <f>IF(AN382="","",IF(OR(AN382=[12]Listas!$E$61,AN382=[12]Listas!$E$62),[12]Listas!$F$61,IF(AN382=[12]Listas!$E$63,[12]Listas!$F$63,IF(AN382=[12]Listas!$E$64,[12]Listas!$F$64))))</f>
        <v>Aceptar o reducir el riesgo</v>
      </c>
      <c r="AQ382" s="342" t="s">
        <v>80</v>
      </c>
      <c r="AR382" s="236" t="s">
        <v>529</v>
      </c>
    </row>
    <row r="383" spans="2:70" ht="116.25" customHeight="1" thickTop="1" thickBot="1" x14ac:dyDescent="0.4">
      <c r="B383" s="537"/>
      <c r="C383" s="559"/>
      <c r="D383" s="610"/>
      <c r="E383" s="577"/>
      <c r="F383" s="580"/>
      <c r="G383" s="583"/>
      <c r="H383" s="586"/>
      <c r="I383" s="589"/>
      <c r="J383" s="589"/>
      <c r="K383" s="592"/>
      <c r="L383" s="589"/>
      <c r="M383" s="595"/>
      <c r="N383" s="598"/>
      <c r="O383" s="601"/>
      <c r="P383" s="595"/>
      <c r="Q383" s="604"/>
      <c r="R383" s="601"/>
      <c r="S383" s="286"/>
      <c r="T383" s="604"/>
      <c r="U383" s="142" t="s">
        <v>174</v>
      </c>
      <c r="V383" s="471" t="s">
        <v>530</v>
      </c>
      <c r="W383" s="331" t="s">
        <v>40</v>
      </c>
      <c r="X383" s="320">
        <f>IF(W383=[12]Listas!$B$46,[12]Listas!$C$46,IF(W383=[12]Listas!$B$47,[12]Listas!$C$47,IF(W383=[12]Listas!$B$48,[12]Listas!$C$48,"")))</f>
        <v>0.25</v>
      </c>
      <c r="Y383" s="321" t="str">
        <f>IF(OR(W383=[12]Listas!$F$53,W383=[12]Listas!$F$54),[12]Listas!$G$53,IF(W383=[12]Listas!$F$55,[12]Listas!$G$55,""))</f>
        <v>Probabilidad</v>
      </c>
      <c r="Z383" s="331" t="s">
        <v>43</v>
      </c>
      <c r="AA383" s="182">
        <f>+IF(Z383=[12]Listas!$E$46,[12]Listas!$F$46,IF(Z383=[12]Listas!$E$47,[12]Listas!$F$47,""))</f>
        <v>0.15</v>
      </c>
      <c r="AB383" s="183">
        <f>IFERROR(X383+AA383,"")</f>
        <v>0.4</v>
      </c>
      <c r="AC383" s="319" t="s">
        <v>57</v>
      </c>
      <c r="AD383" s="319" t="s">
        <v>58</v>
      </c>
      <c r="AE383" s="323" t="s">
        <v>59</v>
      </c>
      <c r="AF383" s="305" t="str">
        <f t="shared" si="51"/>
        <v>Muy baja</v>
      </c>
      <c r="AG383" s="145">
        <f>IF(Y383=[12]Listas!$G$53,AG382-(AG382*AB383),AG382)</f>
        <v>0.14399999999999999</v>
      </c>
      <c r="AH383" s="562"/>
      <c r="AI383" s="305" t="str">
        <f t="shared" si="55"/>
        <v>Moderado</v>
      </c>
      <c r="AJ383" s="145">
        <f>IF(Y383=[12]Listas!$G$55,AJ382-(AJ382*AB383),AJ382)</f>
        <v>0.6</v>
      </c>
      <c r="AK383" s="562"/>
      <c r="AL383" s="565"/>
      <c r="AM383" s="565"/>
      <c r="AN383" s="565"/>
      <c r="AO383" s="568"/>
      <c r="AP383" s="571"/>
      <c r="AQ383" s="343" t="s">
        <v>80</v>
      </c>
      <c r="AR383" s="238" t="s">
        <v>566</v>
      </c>
    </row>
    <row r="384" spans="2:70" ht="57" thickTop="1" thickBot="1" x14ac:dyDescent="0.4">
      <c r="B384" s="537"/>
      <c r="C384" s="559"/>
      <c r="D384" s="610"/>
      <c r="E384" s="577"/>
      <c r="F384" s="580"/>
      <c r="G384" s="583"/>
      <c r="H384" s="586"/>
      <c r="I384" s="589"/>
      <c r="J384" s="589"/>
      <c r="K384" s="592"/>
      <c r="L384" s="589"/>
      <c r="M384" s="595"/>
      <c r="N384" s="598"/>
      <c r="O384" s="601"/>
      <c r="P384" s="595"/>
      <c r="Q384" s="604"/>
      <c r="R384" s="601"/>
      <c r="S384" s="287"/>
      <c r="T384" s="604"/>
      <c r="U384" s="142" t="s">
        <v>180</v>
      </c>
      <c r="V384" s="415"/>
      <c r="W384" s="331"/>
      <c r="X384" s="320" t="str">
        <f>IF(W384=[12]Listas!$B$46,[12]Listas!$C$46,IF(W384=[12]Listas!$B$47,[12]Listas!$C$47,IF(W384=[12]Listas!$B$48,[12]Listas!$C$48,"")))</f>
        <v/>
      </c>
      <c r="Y384" s="321" t="str">
        <f>IF(OR(W384=[12]Listas!$F$53,W384=[12]Listas!$F$54),[12]Listas!$G$53,IF(W384=[12]Listas!$F$55,[12]Listas!$G$55,""))</f>
        <v/>
      </c>
      <c r="Z384" s="331"/>
      <c r="AA384" s="182" t="str">
        <f>+IF(Z384=[12]Listas!$E$46,[12]Listas!$F$46,IF(Z384=[12]Listas!$E$47,[12]Listas!$F$47,""))</f>
        <v/>
      </c>
      <c r="AB384" s="183" t="str">
        <f>IFERROR(X384+AA384,"")</f>
        <v/>
      </c>
      <c r="AC384" s="319"/>
      <c r="AD384" s="319"/>
      <c r="AE384" s="323"/>
      <c r="AF384" s="305" t="str">
        <f t="shared" si="51"/>
        <v>Muy baja</v>
      </c>
      <c r="AG384" s="145">
        <f>IF(Y384=[12]Listas!$G$53,AG383-(AG383*AB384),AG383)</f>
        <v>0.14399999999999999</v>
      </c>
      <c r="AH384" s="562"/>
      <c r="AI384" s="305" t="str">
        <f t="shared" si="55"/>
        <v>Moderado</v>
      </c>
      <c r="AJ384" s="145">
        <f>IF(Y384=[12]Listas!$G$55,AJ383-(AJ383*AB384),AJ383)</f>
        <v>0.6</v>
      </c>
      <c r="AK384" s="562"/>
      <c r="AL384" s="565"/>
      <c r="AM384" s="565"/>
      <c r="AN384" s="565"/>
      <c r="AO384" s="568"/>
      <c r="AP384" s="571"/>
      <c r="AQ384" s="343" t="s">
        <v>90</v>
      </c>
      <c r="AR384" s="235" t="s">
        <v>532</v>
      </c>
    </row>
    <row r="385" spans="2:44" ht="15" hidden="1" customHeight="1" x14ac:dyDescent="0.35">
      <c r="B385" s="537"/>
      <c r="C385" s="559"/>
      <c r="D385" s="610"/>
      <c r="E385" s="577"/>
      <c r="F385" s="580"/>
      <c r="G385" s="583"/>
      <c r="H385" s="586"/>
      <c r="I385" s="589"/>
      <c r="J385" s="589"/>
      <c r="K385" s="592"/>
      <c r="L385" s="589"/>
      <c r="M385" s="595"/>
      <c r="N385" s="598"/>
      <c r="O385" s="601"/>
      <c r="P385" s="595"/>
      <c r="Q385" s="604"/>
      <c r="R385" s="601"/>
      <c r="S385" s="287"/>
      <c r="T385" s="604"/>
      <c r="U385" s="142" t="s">
        <v>190</v>
      </c>
      <c r="V385" s="415"/>
      <c r="W385" s="331"/>
      <c r="X385" s="320" t="str">
        <f>IF(W385=[12]Listas!$B$46,[12]Listas!$C$46,IF(W385=[12]Listas!$B$47,[12]Listas!$C$47,IF(W385=[12]Listas!$B$48,[12]Listas!$C$48,"")))</f>
        <v/>
      </c>
      <c r="Y385" s="321" t="str">
        <f>IF(OR(W385=[12]Listas!$F$53,W385=[12]Listas!$F$54),[12]Listas!$G$53,IF(W385=[12]Listas!$F$55,[12]Listas!$G$55,""))</f>
        <v/>
      </c>
      <c r="Z385" s="331"/>
      <c r="AA385" s="182" t="str">
        <f>+IF(Z385=[12]Listas!$E$46,[12]Listas!$F$46,IF(Z385=[12]Listas!$E$47,[12]Listas!$F$47,""))</f>
        <v/>
      </c>
      <c r="AB385" s="183" t="str">
        <f t="shared" ref="AB385:AB391" si="58">IFERROR(X385+AA385,"")</f>
        <v/>
      </c>
      <c r="AC385" s="319"/>
      <c r="AD385" s="319"/>
      <c r="AE385" s="323"/>
      <c r="AF385" s="305" t="str">
        <f t="shared" si="51"/>
        <v>Muy baja</v>
      </c>
      <c r="AG385" s="145">
        <f>IF(Y385=[12]Listas!$G$53,AG384-(AG384*AB385),AG384)</f>
        <v>0.14399999999999999</v>
      </c>
      <c r="AH385" s="562"/>
      <c r="AI385" s="305" t="str">
        <f t="shared" si="55"/>
        <v>Moderado</v>
      </c>
      <c r="AJ385" s="145">
        <f>IF(Y385=[12]Listas!$G$55,AJ384-(AJ384*AB385),AJ384)</f>
        <v>0.6</v>
      </c>
      <c r="AK385" s="562"/>
      <c r="AL385" s="565"/>
      <c r="AM385" s="565"/>
      <c r="AN385" s="565"/>
      <c r="AO385" s="568"/>
      <c r="AP385" s="571"/>
      <c r="AQ385" s="344"/>
      <c r="AR385" s="191"/>
    </row>
    <row r="386" spans="2:44" ht="15" hidden="1" customHeight="1" x14ac:dyDescent="0.35">
      <c r="B386" s="537"/>
      <c r="C386" s="559"/>
      <c r="D386" s="610"/>
      <c r="E386" s="577"/>
      <c r="F386" s="580"/>
      <c r="G386" s="583"/>
      <c r="H386" s="586"/>
      <c r="I386" s="589"/>
      <c r="J386" s="589"/>
      <c r="K386" s="592"/>
      <c r="L386" s="589"/>
      <c r="M386" s="595"/>
      <c r="N386" s="598"/>
      <c r="O386" s="601"/>
      <c r="P386" s="595"/>
      <c r="Q386" s="604"/>
      <c r="R386" s="601"/>
      <c r="S386" s="287"/>
      <c r="T386" s="604"/>
      <c r="U386" s="142" t="s">
        <v>198</v>
      </c>
      <c r="V386" s="415"/>
      <c r="W386" s="331"/>
      <c r="X386" s="320" t="str">
        <f>IF(W386=[12]Listas!$B$46,[12]Listas!$C$46,IF(W386=[12]Listas!$B$47,[12]Listas!$C$47,IF(W386=[12]Listas!$B$48,[12]Listas!$C$48,"")))</f>
        <v/>
      </c>
      <c r="Y386" s="321" t="str">
        <f>IF(OR(W386=[12]Listas!$F$53,W386=[12]Listas!$F$54),[12]Listas!$G$53,IF(W386=[12]Listas!$F$55,[12]Listas!$G$55,""))</f>
        <v/>
      </c>
      <c r="Z386" s="331"/>
      <c r="AA386" s="182" t="str">
        <f>+IF(Z386=[12]Listas!$E$46,[12]Listas!$F$46,IF(Z386=[12]Listas!$E$47,[12]Listas!$F$47,""))</f>
        <v/>
      </c>
      <c r="AB386" s="183" t="str">
        <f t="shared" si="58"/>
        <v/>
      </c>
      <c r="AC386" s="319"/>
      <c r="AD386" s="319"/>
      <c r="AE386" s="323"/>
      <c r="AF386" s="305" t="str">
        <f t="shared" si="51"/>
        <v>Muy baja</v>
      </c>
      <c r="AG386" s="145">
        <f>IF(Y386=[12]Listas!$G$53,AG385-(AG385*AB386),AG385)</f>
        <v>0.14399999999999999</v>
      </c>
      <c r="AH386" s="562"/>
      <c r="AI386" s="305" t="str">
        <f t="shared" si="55"/>
        <v>Moderado</v>
      </c>
      <c r="AJ386" s="145">
        <f>IF(Y386=[12]Listas!$G$55,AJ385-(AJ385*AB386),AJ385)</f>
        <v>0.6</v>
      </c>
      <c r="AK386" s="562"/>
      <c r="AL386" s="565"/>
      <c r="AM386" s="565"/>
      <c r="AN386" s="565"/>
      <c r="AO386" s="568"/>
      <c r="AP386" s="571"/>
      <c r="AQ386" s="343"/>
      <c r="AR386" s="191"/>
    </row>
    <row r="387" spans="2:44" ht="15.75" hidden="1" customHeight="1" thickTop="1" x14ac:dyDescent="0.35">
      <c r="B387" s="537"/>
      <c r="C387" s="559"/>
      <c r="D387" s="610"/>
      <c r="E387" s="577"/>
      <c r="F387" s="580"/>
      <c r="G387" s="583"/>
      <c r="H387" s="586"/>
      <c r="I387" s="589"/>
      <c r="J387" s="589"/>
      <c r="K387" s="592"/>
      <c r="L387" s="589"/>
      <c r="M387" s="595"/>
      <c r="N387" s="598"/>
      <c r="O387" s="601"/>
      <c r="P387" s="595"/>
      <c r="Q387" s="604"/>
      <c r="R387" s="601"/>
      <c r="S387" s="288"/>
      <c r="T387" s="604"/>
      <c r="U387" s="142" t="s">
        <v>208</v>
      </c>
      <c r="V387" s="415"/>
      <c r="W387" s="331"/>
      <c r="X387" s="320" t="str">
        <f>IF(W387=[12]Listas!$B$46,[12]Listas!$C$46,IF(W387=[12]Listas!$B$47,[12]Listas!$C$47,IF(W387=[12]Listas!$B$48,[12]Listas!$C$48,"")))</f>
        <v/>
      </c>
      <c r="Y387" s="321" t="str">
        <f>IF(OR(W387=[12]Listas!$F$53,W387=[12]Listas!$F$54),[12]Listas!$G$53,IF(W387=[12]Listas!$F$55,[12]Listas!$G$55,""))</f>
        <v/>
      </c>
      <c r="Z387" s="331"/>
      <c r="AA387" s="182" t="str">
        <f>+IF(Z387=[12]Listas!$E$46,[12]Listas!$F$46,IF(Z387=[12]Listas!$E$47,[12]Listas!$F$47,""))</f>
        <v/>
      </c>
      <c r="AB387" s="183" t="str">
        <f t="shared" si="58"/>
        <v/>
      </c>
      <c r="AC387" s="319"/>
      <c r="AD387" s="319"/>
      <c r="AE387" s="323"/>
      <c r="AF387" s="305" t="str">
        <f t="shared" si="51"/>
        <v>Muy baja</v>
      </c>
      <c r="AG387" s="145">
        <f>IF(Y387=[12]Listas!$G$53,AG386-(AG386*AB387),AG386)</f>
        <v>0.14399999999999999</v>
      </c>
      <c r="AH387" s="562"/>
      <c r="AI387" s="305" t="str">
        <f t="shared" si="55"/>
        <v>Moderado</v>
      </c>
      <c r="AJ387" s="145">
        <f>IF(Y387=[12]Listas!$G$55,AJ386-(AJ386*AB387),AJ386)</f>
        <v>0.6</v>
      </c>
      <c r="AK387" s="562"/>
      <c r="AL387" s="565"/>
      <c r="AM387" s="565"/>
      <c r="AN387" s="565"/>
      <c r="AO387" s="568"/>
      <c r="AP387" s="571"/>
      <c r="AQ387" s="344"/>
      <c r="AR387" s="191"/>
    </row>
    <row r="388" spans="2:44" ht="15" hidden="1" customHeight="1" thickTop="1" x14ac:dyDescent="0.35">
      <c r="B388" s="537"/>
      <c r="C388" s="559"/>
      <c r="D388" s="610"/>
      <c r="E388" s="577"/>
      <c r="F388" s="580"/>
      <c r="G388" s="583"/>
      <c r="H388" s="586"/>
      <c r="I388" s="589"/>
      <c r="J388" s="589"/>
      <c r="K388" s="592"/>
      <c r="L388" s="589"/>
      <c r="M388" s="595"/>
      <c r="N388" s="598"/>
      <c r="O388" s="601"/>
      <c r="P388" s="595"/>
      <c r="Q388" s="604"/>
      <c r="R388" s="601"/>
      <c r="S388" s="289"/>
      <c r="T388" s="604"/>
      <c r="U388" s="142" t="s">
        <v>215</v>
      </c>
      <c r="V388" s="418"/>
      <c r="W388" s="331"/>
      <c r="X388" s="320" t="str">
        <f>IF(W388=[12]Listas!$B$46,[12]Listas!$C$46,IF(W388=[12]Listas!$B$47,[12]Listas!$C$47,IF(W388=[12]Listas!$B$48,[12]Listas!$C$48,"")))</f>
        <v/>
      </c>
      <c r="Y388" s="321" t="str">
        <f>IF(OR(W388=[12]Listas!$F$53,W388=[12]Listas!$F$54),[12]Listas!$G$53,IF(W388=[12]Listas!$F$55,[12]Listas!$G$55,""))</f>
        <v/>
      </c>
      <c r="Z388" s="331"/>
      <c r="AA388" s="182" t="str">
        <f>+IF(Z388=[12]Listas!$E$46,[12]Listas!$F$46,IF(Z388=[12]Listas!$E$47,[12]Listas!$F$47,""))</f>
        <v/>
      </c>
      <c r="AB388" s="183" t="str">
        <f t="shared" si="58"/>
        <v/>
      </c>
      <c r="AC388" s="319"/>
      <c r="AD388" s="322"/>
      <c r="AE388" s="323"/>
      <c r="AF388" s="305" t="str">
        <f t="shared" si="51"/>
        <v>Muy baja</v>
      </c>
      <c r="AG388" s="145">
        <f>IF(Y388=[12]Listas!$G$53,AG387-(AG387*AB388),AG387)</f>
        <v>0.14399999999999999</v>
      </c>
      <c r="AH388" s="562"/>
      <c r="AI388" s="305" t="str">
        <f t="shared" si="55"/>
        <v>Moderado</v>
      </c>
      <c r="AJ388" s="145">
        <f>IF(Y388=[12]Listas!$G$55,AJ387-(AJ387*AB388),AJ387)</f>
        <v>0.6</v>
      </c>
      <c r="AK388" s="562"/>
      <c r="AL388" s="565"/>
      <c r="AM388" s="565"/>
      <c r="AN388" s="565"/>
      <c r="AO388" s="568"/>
      <c r="AP388" s="571"/>
      <c r="AQ388" s="345"/>
      <c r="AR388" s="191"/>
    </row>
    <row r="389" spans="2:44" ht="15" hidden="1" customHeight="1" thickTop="1" x14ac:dyDescent="0.35">
      <c r="B389" s="537"/>
      <c r="C389" s="559"/>
      <c r="D389" s="610"/>
      <c r="E389" s="577"/>
      <c r="F389" s="580"/>
      <c r="G389" s="583"/>
      <c r="H389" s="586"/>
      <c r="I389" s="589"/>
      <c r="J389" s="589"/>
      <c r="K389" s="592"/>
      <c r="L389" s="589"/>
      <c r="M389" s="595"/>
      <c r="N389" s="598"/>
      <c r="O389" s="601"/>
      <c r="P389" s="595"/>
      <c r="Q389" s="604"/>
      <c r="R389" s="601"/>
      <c r="S389" s="289"/>
      <c r="T389" s="604"/>
      <c r="U389" s="142" t="s">
        <v>220</v>
      </c>
      <c r="V389" s="418"/>
      <c r="W389" s="331"/>
      <c r="X389" s="320" t="str">
        <f>IF(W389=[12]Listas!$B$46,[12]Listas!$C$46,IF(W389=[12]Listas!$B$47,[12]Listas!$C$47,IF(W389=[12]Listas!$B$48,[12]Listas!$C$48,"")))</f>
        <v/>
      </c>
      <c r="Y389" s="321" t="str">
        <f>IF(OR(W389=[12]Listas!$F$53,W389=[12]Listas!$F$54),[12]Listas!$G$53,IF(W389=[12]Listas!$F$55,[12]Listas!$G$55,""))</f>
        <v/>
      </c>
      <c r="Z389" s="331"/>
      <c r="AA389" s="182" t="str">
        <f>+IF(Z389=[12]Listas!$E$46,[12]Listas!$F$46,IF(Z389=[12]Listas!$E$47,[12]Listas!$F$47,""))</f>
        <v/>
      </c>
      <c r="AB389" s="183" t="str">
        <f t="shared" si="58"/>
        <v/>
      </c>
      <c r="AC389" s="319"/>
      <c r="AD389" s="322"/>
      <c r="AE389" s="323"/>
      <c r="AF389" s="305" t="str">
        <f t="shared" si="51"/>
        <v>Muy baja</v>
      </c>
      <c r="AG389" s="145">
        <f>IF(Y389=[12]Listas!$G$53,AG388-(AG388*AB389),AG388)</f>
        <v>0.14399999999999999</v>
      </c>
      <c r="AH389" s="562"/>
      <c r="AI389" s="305" t="str">
        <f t="shared" si="55"/>
        <v>Moderado</v>
      </c>
      <c r="AJ389" s="145">
        <f>IF(Y389=[12]Listas!$G$55,AJ388-(AJ388*AB389),AJ388)</f>
        <v>0.6</v>
      </c>
      <c r="AK389" s="562"/>
      <c r="AL389" s="565"/>
      <c r="AM389" s="565"/>
      <c r="AN389" s="565"/>
      <c r="AO389" s="568"/>
      <c r="AP389" s="571"/>
      <c r="AQ389" s="343"/>
      <c r="AR389" s="191"/>
    </row>
    <row r="390" spans="2:44" ht="15" hidden="1" customHeight="1" thickTop="1" x14ac:dyDescent="0.35">
      <c r="B390" s="537"/>
      <c r="C390" s="559"/>
      <c r="D390" s="610"/>
      <c r="E390" s="577"/>
      <c r="F390" s="580"/>
      <c r="G390" s="583"/>
      <c r="H390" s="586"/>
      <c r="I390" s="589"/>
      <c r="J390" s="589"/>
      <c r="K390" s="592"/>
      <c r="L390" s="589"/>
      <c r="M390" s="595"/>
      <c r="N390" s="598"/>
      <c r="O390" s="601"/>
      <c r="P390" s="595"/>
      <c r="Q390" s="604"/>
      <c r="R390" s="601"/>
      <c r="S390" s="289"/>
      <c r="T390" s="604"/>
      <c r="U390" s="142" t="s">
        <v>223</v>
      </c>
      <c r="V390" s="418"/>
      <c r="W390" s="331"/>
      <c r="X390" s="320" t="str">
        <f>IF(W390=[12]Listas!$B$46,[12]Listas!$C$46,IF(W390=[12]Listas!$B$47,[12]Listas!$C$47,IF(W390=[12]Listas!$B$48,[12]Listas!$C$48,"")))</f>
        <v/>
      </c>
      <c r="Y390" s="321" t="str">
        <f>IF(OR(W390=[12]Listas!$F$53,W390=[12]Listas!$F$54),[12]Listas!$G$53,IF(W390=[12]Listas!$F$55,[12]Listas!$G$55,""))</f>
        <v/>
      </c>
      <c r="Z390" s="331"/>
      <c r="AA390" s="182" t="str">
        <f>+IF(Z390=[12]Listas!$E$46,[12]Listas!$F$46,IF(Z390=[12]Listas!$E$47,[12]Listas!$F$47,""))</f>
        <v/>
      </c>
      <c r="AB390" s="183" t="str">
        <f t="shared" si="58"/>
        <v/>
      </c>
      <c r="AC390" s="319"/>
      <c r="AD390" s="322"/>
      <c r="AE390" s="323"/>
      <c r="AF390" s="305" t="str">
        <f t="shared" si="51"/>
        <v>Muy baja</v>
      </c>
      <c r="AG390" s="145">
        <f>IF(Y390=[12]Listas!$G$53,AG389-(AG389*AB390),AG389)</f>
        <v>0.14399999999999999</v>
      </c>
      <c r="AH390" s="562"/>
      <c r="AI390" s="305" t="str">
        <f t="shared" si="55"/>
        <v>Moderado</v>
      </c>
      <c r="AJ390" s="145">
        <f>IF(Y390=[12]Listas!$G$55,AJ389-(AJ389*AB390),AJ389)</f>
        <v>0.6</v>
      </c>
      <c r="AK390" s="562"/>
      <c r="AL390" s="565"/>
      <c r="AM390" s="565"/>
      <c r="AN390" s="565"/>
      <c r="AO390" s="568"/>
      <c r="AP390" s="571"/>
      <c r="AQ390" s="344"/>
      <c r="AR390" s="191"/>
    </row>
    <row r="391" spans="2:44" ht="15.75" hidden="1" customHeight="1" thickTop="1" x14ac:dyDescent="0.35">
      <c r="B391" s="537"/>
      <c r="C391" s="559"/>
      <c r="D391" s="611"/>
      <c r="E391" s="578"/>
      <c r="F391" s="581"/>
      <c r="G391" s="584"/>
      <c r="H391" s="587"/>
      <c r="I391" s="590"/>
      <c r="J391" s="590"/>
      <c r="K391" s="593"/>
      <c r="L391" s="590"/>
      <c r="M391" s="596"/>
      <c r="N391" s="599"/>
      <c r="O391" s="602"/>
      <c r="P391" s="596"/>
      <c r="Q391" s="605"/>
      <c r="R391" s="602"/>
      <c r="S391" s="293"/>
      <c r="T391" s="605"/>
      <c r="U391" s="202" t="s">
        <v>224</v>
      </c>
      <c r="V391" s="416"/>
      <c r="W391" s="335"/>
      <c r="X391" s="336" t="str">
        <f>IF(W391=[12]Listas!$B$46,[12]Listas!$C$46,IF(W391=[12]Listas!$B$47,[12]Listas!$C$47,IF(W391=[12]Listas!$B$48,[12]Listas!$C$48,"")))</f>
        <v/>
      </c>
      <c r="Y391" s="337" t="str">
        <f>IF(OR(W391=[12]Listas!$F$53,W391=[12]Listas!$F$54),[12]Listas!$G$53,IF(W391=[12]Listas!$F$55,[12]Listas!$G$55,""))</f>
        <v/>
      </c>
      <c r="Z391" s="335"/>
      <c r="AA391" s="186" t="str">
        <f>+IF(Z391=[12]Listas!$E$46,[12]Listas!$F$46,IF(Z391=[12]Listas!$E$47,[12]Listas!$F$47,""))</f>
        <v/>
      </c>
      <c r="AB391" s="187" t="str">
        <f t="shared" si="58"/>
        <v/>
      </c>
      <c r="AC391" s="338"/>
      <c r="AD391" s="339"/>
      <c r="AE391" s="340"/>
      <c r="AF391" s="311" t="str">
        <f t="shared" si="51"/>
        <v>Muy baja</v>
      </c>
      <c r="AG391" s="179">
        <f>IF(Y391=[12]Listas!$G$53,AG390-(AG390*AB391),AG390)</f>
        <v>0.14399999999999999</v>
      </c>
      <c r="AH391" s="563"/>
      <c r="AI391" s="311" t="str">
        <f t="shared" si="55"/>
        <v>Moderado</v>
      </c>
      <c r="AJ391" s="179">
        <f>IF(Y391=[12]Listas!$G$55,AJ390-(AJ390*AB391),AJ390)</f>
        <v>0.6</v>
      </c>
      <c r="AK391" s="563"/>
      <c r="AL391" s="566"/>
      <c r="AM391" s="566"/>
      <c r="AN391" s="566"/>
      <c r="AO391" s="569"/>
      <c r="AP391" s="572"/>
      <c r="AQ391" s="346"/>
      <c r="AR391" s="192"/>
    </row>
    <row r="392" spans="2:44" ht="329.25" customHeight="1" thickTop="1" thickBot="1" x14ac:dyDescent="0.4">
      <c r="B392" s="537"/>
      <c r="C392" s="559"/>
      <c r="D392" s="609" t="s">
        <v>567</v>
      </c>
      <c r="E392" s="576" t="s">
        <v>3</v>
      </c>
      <c r="F392" s="624" t="s">
        <v>568</v>
      </c>
      <c r="G392" s="582" t="s">
        <v>569</v>
      </c>
      <c r="H392" s="585" t="s">
        <v>570</v>
      </c>
      <c r="I392" s="588" t="s">
        <v>23</v>
      </c>
      <c r="J392" s="588" t="s">
        <v>29</v>
      </c>
      <c r="K392" s="591" t="s">
        <v>537</v>
      </c>
      <c r="L392" s="588" t="s">
        <v>168</v>
      </c>
      <c r="M392" s="594" t="s">
        <v>214</v>
      </c>
      <c r="N392" s="597" t="str">
        <f>+IF(M392="","",IF(M392=$BO$15,$BN$15,IF(M392=$BO$16,$BN$16,IF(M392=$BO$17,$BN$17,IF(M392=$BO$18,$BN$18,IF(M392=$BO$19,$BN$19))))))</f>
        <v>Media</v>
      </c>
      <c r="O392" s="600">
        <f>+IF(M392="","",IF(M392=$BO$15,$BR$15,IF(M392=$BO$16,$BR$16,IF(M392=$BO$17,$BR$17,IF(M392=$BO$18,$BR$18,IF(M392=$BO$19,$BR$19))))))</f>
        <v>0.6</v>
      </c>
      <c r="P392" s="594" t="s">
        <v>170</v>
      </c>
      <c r="Q392" s="603" t="str">
        <f>+IF(P392="","",IF(P392='[12]Mapa de Calor inherente'!$AF$6,'[12]Mapa de Calor inherente'!$AD$6,IF(P392='[12]Mapa de Calor inherente'!$AF$7,'[12]Mapa de Calor inherente'!$AD$7,IF(P392='[12]Mapa de Calor inherente'!$AF$8,'[12]Mapa de Calor inherente'!$AD$8,IF(P392='[12]Mapa de Calor inherente'!$AF$9,'[12]Mapa de Calor inherente'!$AD$9,IF(P392='[12]Mapa de Calor inherente'!$AF$10,'[12]Mapa de Calor inherente'!$AD$10,IF(P392='[12]Mapa de Calor inherente'!$AG$6,'[12]Mapa de Calor inherente'!$AD$6,IF(P392='[12]Mapa de Calor inherente'!$AG$7,'[12]Mapa de Calor inherente'!$AD$7,IF(P392='[12]Mapa de Calor inherente'!$AG$8,'[12]Mapa de Calor inherente'!$AD$8,IF(P392='[12]Mapa de Calor inherente'!$AG$9,'[12]Mapa de Calor inherente'!$AD$9,IF(P392='[12]Mapa de Calor inherente'!$AG$10,'[12]Mapa de Calor inherente'!$AD$10,IF(P392='[12]Mapa de Calor inherente'!$AD$8,'[12]Mapa de Calor inherente'!$AD$8,IF(P392='[12]Mapa de Calor inherente'!$AD$9,'[12]Mapa de Calor inherente'!$AD$9,IF(P392='[12]Mapa de Calor inherente'!$AD$10,'[12]Mapa de Calor inherente'!$AD$10))))))))))))))</f>
        <v>Catastrófico</v>
      </c>
      <c r="R392" s="600">
        <f>+IF(P392="","",IF(P392='[12]Mapa de Calor inherente'!$AF$6,'[12]Mapa de Calor inherente'!$AE$6,IF(P392='[12]Mapa de Calor inherente'!$AF$7,'[12]Mapa de Calor inherente'!$AE$7,IF(P392='[12]Mapa de Calor inherente'!$AF$8,'[12]Mapa de Calor inherente'!$AE$8,IF(P392='[12]Mapa de Calor inherente'!$AF$9,'[12]Mapa de Calor inherente'!$AE$9,IF(P392='[12]Mapa de Calor inherente'!$AF$10,'[12]Mapa de Calor inherente'!$AE$10,IF(P392='[12]Mapa de Calor inherente'!$AG$6,'[12]Mapa de Calor inherente'!$AE$6,IF(P392='[12]Mapa de Calor inherente'!$AG$7,'[12]Mapa de Calor inherente'!$AE$7,IF(P392='[12]Mapa de Calor inherente'!$AG$8,'[12]Mapa de Calor inherente'!$AE$8,IF(P392='[12]Mapa de Calor inherente'!$AG$9,'[12]Mapa de Calor inherente'!$AE$9,IF(P392='[12]Mapa de Calor inherente'!$AG$10,'[12]Mapa de Calor inherente'!$AE$10,IF(P392='[12]Mapa de Calor inherente'!$AD$8,'[12]Mapa de Calor inherente'!$AE$8,IF(P392='[12]Mapa de Calor inherente'!$AD$9,'[12]Mapa de Calor inherente'!$AE$9,IF(P392='[12]Mapa de Calor inherente'!$AD$10,'[12]Mapa de Calor inherente'!$AE$10))))))))))))))</f>
        <v>1</v>
      </c>
      <c r="S392" s="292"/>
      <c r="T392" s="603" t="str">
        <f>+IF(N392=$BB$17,IF(Q392=$BC$16,$BC$17,IF(Q392=$BD$16,$BD$17,IF(Q392=$BE$16,$BE$17,IF(Q392=$BF$16,$BF$17,IF(Q392=$BG$16,$BG$17))))),IF(N392=$BB$18,IF(Q392=$BC$16,$BC$18,IF(Q392=$BD$16,$BD$18,IF(Q392=$BE$16,$BE$18,IF(Q392=$BF$16,$BF$18,IF(Q392=$BG$16,$BG$18))))),IF(N392=$BB$19,IF(Q392=$BC$16,$BC$19,IF(Q392=$BD$16,$BD$19,IF(Q392=$BE$16,$BE$19,IF(Q392=$BF$16,$BF$19,IF(Q392=$BG$16,$BG$19))))),IF(N392=$BB$20,IF(Q392=$BC$16,$BC$20,IF(Q392=$BD$16,$BD$20,IF(Q392=$BE$16,$BE$20,IF(Q392=$BF$16,$BF$20,IF(Q392=$BG$16,$BG$20))))),IF(N392=$BB$21,IF(Q392=$BC$16,$BC$21,IF(Q392=$BD$16,$BD$21,IF(Q392=$BE$16,$BE$21,IF(Q392=$BF$16,$BF$21,IF(Q392=$BG$16,$BG$21))))),"")))))</f>
        <v>Extremo</v>
      </c>
      <c r="U392" s="139" t="s">
        <v>171</v>
      </c>
      <c r="V392" s="472" t="s">
        <v>571</v>
      </c>
      <c r="W392" s="313" t="s">
        <v>40</v>
      </c>
      <c r="X392" s="314">
        <f>IF(W392=[12]Listas!$B$46,[12]Listas!$C$46,IF(W392=[12]Listas!$B$47,[12]Listas!$C$47,IF(W392=[12]Listas!$B$48,[12]Listas!$C$48,"")))</f>
        <v>0.25</v>
      </c>
      <c r="Y392" s="315" t="str">
        <f>IF(OR(W392=[12]Listas!$F$53,W392=[12]Listas!$F$54),[12]Listas!$G$53,IF(W392=[12]Listas!$F$55,[12]Listas!$G$55,""))</f>
        <v>Probabilidad</v>
      </c>
      <c r="Z392" s="313" t="s">
        <v>43</v>
      </c>
      <c r="AA392" s="314">
        <f>+IF(Z392=[12]Listas!$E$46,[12]Listas!$F$46,IF(Z392=[12]Listas!$E$47,[12]Listas!$F$47,""))</f>
        <v>0.15</v>
      </c>
      <c r="AB392" s="181">
        <f>IFERROR(X392+AA392,"")</f>
        <v>0.4</v>
      </c>
      <c r="AC392" s="313" t="s">
        <v>57</v>
      </c>
      <c r="AD392" s="316" t="s">
        <v>58</v>
      </c>
      <c r="AE392" s="317" t="s">
        <v>59</v>
      </c>
      <c r="AF392" s="299" t="str">
        <f t="shared" si="51"/>
        <v>Baja</v>
      </c>
      <c r="AG392" s="141">
        <f>IF(Y392=[12]Listas!$G$53,O392-(O392*AB392),O392)</f>
        <v>0.36</v>
      </c>
      <c r="AH392" s="561">
        <f>+IF(AG401="","",AG401)</f>
        <v>0.12959999999999999</v>
      </c>
      <c r="AI392" s="299" t="str">
        <f>IF(AJ392="","",IF(AJ392&lt;=20%,"Leve",IF(AJ392&lt;=40%,"Menor",IF(AJ392&lt;=60%,"Moderado",IF(AJ392&lt;=80%,"Mayor","Catastrófico")))))</f>
        <v>Catastrófico</v>
      </c>
      <c r="AJ392" s="141">
        <f>IF(Y392=[12]Listas!$G$55,R392-(R392*AB392),R392)</f>
        <v>1</v>
      </c>
      <c r="AK392" s="561">
        <f>+IF(AJ401="","",AJ401)</f>
        <v>1</v>
      </c>
      <c r="AL392" s="564" t="str">
        <f>+IF(AH392=0,"",IF(AH392&lt;=$BA$21,$BB$21,IF(AH392&lt;=$BA$20,$BB$20,IF(AH392&lt;=$BA$19,$BB$19,IF(AH392&lt;=$BA$18,$BB$18,IF(AH392&lt;=$BA$17,$BB$17,""))))))</f>
        <v>Muy Baja</v>
      </c>
      <c r="AM392" s="564" t="str">
        <f>+IF(AK392=0,"",IF(AK392&lt;=$BC$15,$BC$16,IF(AK392&lt;=$BD$15,$BD$16,IF(AK392&lt;=$BE$15,$BE$16,IF(AK392&lt;=$BF$15,$BF$16,IF(AK392&lt;=$BG$15,$BG$16,""))))))</f>
        <v>Catastrófico</v>
      </c>
      <c r="AN392" s="564" t="str">
        <f>IF(AL392=$BB$17,IF(AM392=$BC$16,$BC$17,IF(AM392=$BD$16,$BD$17,IF(AM392=$BE$16,$BE$17,IF(AM392=$BF$16,$BF$17,IF(AM392=$BG$16,$BG$17))))),IF(AL392=$BB$18,IF(AM392=$BC$16,$BC$18,IF(AM392=$BD$16,$BD$18,IF(AM392=$BE$16,$BE$18,IF(AM392=$BF$16,$BF$18,IF(AM392=$BG$16,$BG$18))))),IF(AL392=$BB$19,IF(AM392=$BC$16,$BC$19,IF(AM392=$BD$16,$BD$19,IF(AM392=$BE$16,$BE$19,IF(AM392=$BF$16,$BF$19,IF(AM392=$BG$16,$BG$19))))),IF(AL392=$BB$20,IF(AM392=$BC$16,$BC$20,IF(AM392=$BD$16,$BD$20,IF(AM392=$BE$16,$BE$20,IF(AM392=$BF$16,$BF$20,IF(AM392=$BG$16,$BG$20))))),IF(AL392=$BB$21,IF(AM392=$BC$16,$BC$21,IF(AM392=$BD$16,$BD$21,IF(AM392=$BE$16,$BE$21,IF(AM392=$BF$16,$BF$21,IF(AM392=$BG$16,$BG$21))))),"")))))</f>
        <v>Extremo</v>
      </c>
      <c r="AO392" s="567" t="str">
        <f>IF(AP392="","",IF(AP392=[12]Listas!$F$61,[12]Listas!$G$61,IF(AP392=[12]Listas!$F$63,[12]Listas!$G$63,IF(AP392=[12]Listas!$F$64,[12]Listas!$G$64))))</f>
        <v>Requiere Plan de Acción</v>
      </c>
      <c r="AP392" s="570" t="str">
        <f>IF(AN392="","",IF(OR(AN392=[12]Listas!$E$61,AN392=[12]Listas!$E$62),[12]Listas!$F$61,IF(AN392=[12]Listas!$E$63,[12]Listas!$F$63,IF(AN392=[12]Listas!$E$64,[12]Listas!$F$64))))</f>
        <v>Reducir, evitar, compartir o transferir el riesgo</v>
      </c>
      <c r="AQ392" s="342" t="s">
        <v>80</v>
      </c>
      <c r="AR392" s="239" t="s">
        <v>572</v>
      </c>
    </row>
    <row r="393" spans="2:44" ht="92.25" customHeight="1" thickTop="1" thickBot="1" x14ac:dyDescent="0.4">
      <c r="B393" s="537"/>
      <c r="C393" s="559"/>
      <c r="D393" s="610"/>
      <c r="E393" s="577"/>
      <c r="F393" s="625"/>
      <c r="G393" s="583"/>
      <c r="H393" s="586"/>
      <c r="I393" s="589"/>
      <c r="J393" s="589"/>
      <c r="K393" s="592"/>
      <c r="L393" s="589"/>
      <c r="M393" s="595"/>
      <c r="N393" s="598"/>
      <c r="O393" s="601"/>
      <c r="P393" s="595"/>
      <c r="Q393" s="604"/>
      <c r="R393" s="601"/>
      <c r="S393" s="286"/>
      <c r="T393" s="604"/>
      <c r="U393" s="142" t="s">
        <v>174</v>
      </c>
      <c r="V393" s="473" t="s">
        <v>573</v>
      </c>
      <c r="W393" s="319" t="s">
        <v>40</v>
      </c>
      <c r="X393" s="320">
        <f>IF(W393=[12]Listas!$B$46,[12]Listas!$C$46,IF(W393=[12]Listas!$B$47,[12]Listas!$C$47,IF(W393=[12]Listas!$B$48,[12]Listas!$C$48,"")))</f>
        <v>0.25</v>
      </c>
      <c r="Y393" s="321" t="str">
        <f>IF(OR(W393=[12]Listas!$F$53,W393=[12]Listas!$F$54),[12]Listas!$G$53,IF(W393=[12]Listas!$F$55,[12]Listas!$G$55,""))</f>
        <v>Probabilidad</v>
      </c>
      <c r="Z393" s="319" t="s">
        <v>43</v>
      </c>
      <c r="AA393" s="182">
        <f>+IF(Z393=[12]Listas!$E$46,[12]Listas!$F$46,IF(Z393=[12]Listas!$E$47,[12]Listas!$F$47,""))</f>
        <v>0.15</v>
      </c>
      <c r="AB393" s="183">
        <f>IFERROR(X393+AA393,"")</f>
        <v>0.4</v>
      </c>
      <c r="AC393" s="319" t="s">
        <v>57</v>
      </c>
      <c r="AD393" s="322" t="s">
        <v>58</v>
      </c>
      <c r="AE393" s="323" t="s">
        <v>59</v>
      </c>
      <c r="AF393" s="305" t="str">
        <f t="shared" si="51"/>
        <v>Baja</v>
      </c>
      <c r="AG393" s="145">
        <f>IF(Y393=[12]Listas!$G$53,AG392-(AG392*AB393),AG392)</f>
        <v>0.216</v>
      </c>
      <c r="AH393" s="562"/>
      <c r="AI393" s="305" t="str">
        <f t="shared" si="55"/>
        <v>Catastrófico</v>
      </c>
      <c r="AJ393" s="145">
        <f>IF(Y393=[12]Listas!$G$55,AJ392-(AJ392*AB393),AJ392)</f>
        <v>1</v>
      </c>
      <c r="AK393" s="562"/>
      <c r="AL393" s="565"/>
      <c r="AM393" s="565"/>
      <c r="AN393" s="565"/>
      <c r="AO393" s="568"/>
      <c r="AP393" s="571"/>
      <c r="AQ393" s="344" t="s">
        <v>80</v>
      </c>
      <c r="AR393" s="240" t="s">
        <v>574</v>
      </c>
    </row>
    <row r="394" spans="2:44" ht="121" customHeight="1" thickTop="1" thickBot="1" x14ac:dyDescent="0.4">
      <c r="B394" s="537"/>
      <c r="C394" s="559"/>
      <c r="D394" s="610"/>
      <c r="E394" s="577"/>
      <c r="F394" s="625"/>
      <c r="G394" s="583"/>
      <c r="H394" s="586"/>
      <c r="I394" s="589"/>
      <c r="J394" s="589"/>
      <c r="K394" s="592"/>
      <c r="L394" s="589"/>
      <c r="M394" s="595"/>
      <c r="N394" s="598"/>
      <c r="O394" s="601"/>
      <c r="P394" s="595"/>
      <c r="Q394" s="604"/>
      <c r="R394" s="601"/>
      <c r="S394" s="287"/>
      <c r="T394" s="604"/>
      <c r="U394" s="142" t="s">
        <v>180</v>
      </c>
      <c r="V394" s="467" t="s">
        <v>542</v>
      </c>
      <c r="W394" s="319" t="s">
        <v>40</v>
      </c>
      <c r="X394" s="320">
        <f>IF(W394=[12]Listas!$B$46,[12]Listas!$C$46,IF(W394=[12]Listas!$B$47,[12]Listas!$C$47,IF(W394=[12]Listas!$B$48,[12]Listas!$C$48,"")))</f>
        <v>0.25</v>
      </c>
      <c r="Y394" s="321" t="str">
        <f>IF(OR(W394=[12]Listas!$F$53,W394=[12]Listas!$F$54),[12]Listas!$G$53,IF(W394=[12]Listas!$F$55,[12]Listas!$G$55,""))</f>
        <v>Probabilidad</v>
      </c>
      <c r="Z394" s="319" t="s">
        <v>43</v>
      </c>
      <c r="AA394" s="182">
        <f>+IF(Z394=[12]Listas!$E$46,[12]Listas!$F$46,IF(Z394=[12]Listas!$E$47,[12]Listas!$F$47,""))</f>
        <v>0.15</v>
      </c>
      <c r="AB394" s="183">
        <f>IFERROR(X394+AA394,"")</f>
        <v>0.4</v>
      </c>
      <c r="AC394" s="319" t="s">
        <v>64</v>
      </c>
      <c r="AD394" s="322" t="s">
        <v>58</v>
      </c>
      <c r="AE394" s="323" t="s">
        <v>59</v>
      </c>
      <c r="AF394" s="305" t="str">
        <f t="shared" si="51"/>
        <v>Muy baja</v>
      </c>
      <c r="AG394" s="145">
        <f>IF(Y394=[12]Listas!$G$53,AG393-(AG393*AB394),AG393)</f>
        <v>0.12959999999999999</v>
      </c>
      <c r="AH394" s="562"/>
      <c r="AI394" s="305" t="str">
        <f t="shared" si="55"/>
        <v>Catastrófico</v>
      </c>
      <c r="AJ394" s="145">
        <f>IF(Y394=[12]Listas!$G$55,AJ393-(AJ393*AB394),AJ393)</f>
        <v>1</v>
      </c>
      <c r="AK394" s="562"/>
      <c r="AL394" s="565"/>
      <c r="AM394" s="565"/>
      <c r="AN394" s="565"/>
      <c r="AO394" s="568"/>
      <c r="AP394" s="571"/>
      <c r="AQ394" s="344"/>
      <c r="AR394" s="191"/>
    </row>
    <row r="395" spans="2:44" ht="15.65" hidden="1" customHeight="1" thickBot="1" x14ac:dyDescent="0.4">
      <c r="B395" s="537"/>
      <c r="C395" s="280"/>
      <c r="D395" s="610"/>
      <c r="E395" s="577"/>
      <c r="F395" s="625"/>
      <c r="G395" s="583"/>
      <c r="H395" s="586"/>
      <c r="I395" s="589"/>
      <c r="J395" s="589"/>
      <c r="K395" s="592"/>
      <c r="L395" s="589"/>
      <c r="M395" s="595"/>
      <c r="N395" s="598"/>
      <c r="O395" s="601"/>
      <c r="P395" s="595"/>
      <c r="Q395" s="604"/>
      <c r="R395" s="601"/>
      <c r="S395" s="287"/>
      <c r="T395" s="604"/>
      <c r="U395" s="142" t="s">
        <v>190</v>
      </c>
      <c r="V395" s="415"/>
      <c r="W395" s="319"/>
      <c r="X395" s="320" t="str">
        <f>IF(W395=[12]Listas!$B$46,[12]Listas!$C$46,IF(W395=[12]Listas!$B$47,[12]Listas!$C$47,IF(W395=[12]Listas!$B$48,[12]Listas!$C$48,"")))</f>
        <v/>
      </c>
      <c r="Y395" s="321" t="str">
        <f>IF(OR(W395=[12]Listas!$F$53,W395=[12]Listas!$F$54),[12]Listas!$G$53,IF(W395=[12]Listas!$F$55,[12]Listas!$G$55,""))</f>
        <v/>
      </c>
      <c r="Z395" s="319"/>
      <c r="AA395" s="182" t="str">
        <f>+IF(Z395=[12]Listas!$E$46,[12]Listas!$F$46,IF(Z395=[12]Listas!$E$47,[12]Listas!$F$47,""))</f>
        <v/>
      </c>
      <c r="AB395" s="183" t="str">
        <f t="shared" ref="AB395:AB401" si="59">IFERROR(X395+AA395,"")</f>
        <v/>
      </c>
      <c r="AC395" s="319"/>
      <c r="AD395" s="322"/>
      <c r="AE395" s="323"/>
      <c r="AF395" s="305" t="str">
        <f t="shared" si="51"/>
        <v>Muy baja</v>
      </c>
      <c r="AG395" s="145">
        <f>IF(Y395=[12]Listas!$G$53,AG394-(AG394*AB395),AG394)</f>
        <v>0.12959999999999999</v>
      </c>
      <c r="AH395" s="562"/>
      <c r="AI395" s="305" t="str">
        <f t="shared" si="55"/>
        <v>Catastrófico</v>
      </c>
      <c r="AJ395" s="145">
        <f>IF(Y395=[12]Listas!$G$55,AJ394-(AJ394*AB395),AJ394)</f>
        <v>1</v>
      </c>
      <c r="AK395" s="562"/>
      <c r="AL395" s="565"/>
      <c r="AM395" s="565"/>
      <c r="AN395" s="565"/>
      <c r="AO395" s="568"/>
      <c r="AP395" s="571"/>
      <c r="AQ395" s="344"/>
      <c r="AR395" s="191"/>
    </row>
    <row r="396" spans="2:44" ht="15.65" hidden="1" customHeight="1" thickBot="1" x14ac:dyDescent="0.4">
      <c r="B396" s="537"/>
      <c r="C396" s="280"/>
      <c r="D396" s="610"/>
      <c r="E396" s="577"/>
      <c r="F396" s="625"/>
      <c r="G396" s="583"/>
      <c r="H396" s="586"/>
      <c r="I396" s="589"/>
      <c r="J396" s="589"/>
      <c r="K396" s="592"/>
      <c r="L396" s="589"/>
      <c r="M396" s="595"/>
      <c r="N396" s="598"/>
      <c r="O396" s="601"/>
      <c r="P396" s="595"/>
      <c r="Q396" s="604"/>
      <c r="R396" s="601"/>
      <c r="S396" s="287"/>
      <c r="T396" s="604"/>
      <c r="U396" s="142" t="s">
        <v>198</v>
      </c>
      <c r="V396" s="415"/>
      <c r="W396" s="319"/>
      <c r="X396" s="320" t="str">
        <f>IF(W396=[12]Listas!$B$46,[12]Listas!$C$46,IF(W396=[12]Listas!$B$47,[12]Listas!$C$47,IF(W396=[12]Listas!$B$48,[12]Listas!$C$48,"")))</f>
        <v/>
      </c>
      <c r="Y396" s="321" t="str">
        <f>IF(OR(W396=[12]Listas!$F$53,W396=[12]Listas!$F$54),[12]Listas!$G$53,IF(W396=[12]Listas!$F$55,[12]Listas!$G$55,""))</f>
        <v/>
      </c>
      <c r="Z396" s="319"/>
      <c r="AA396" s="182" t="str">
        <f>+IF(Z396=[12]Listas!$E$46,[12]Listas!$F$46,IF(Z396=[12]Listas!$E$47,[12]Listas!$F$47,""))</f>
        <v/>
      </c>
      <c r="AB396" s="183" t="str">
        <f t="shared" si="59"/>
        <v/>
      </c>
      <c r="AC396" s="319"/>
      <c r="AD396" s="322"/>
      <c r="AE396" s="323"/>
      <c r="AF396" s="305" t="str">
        <f t="shared" ref="AF396:AF459" si="60">IF(AG396="","",IF(AG396&lt;=20%,"Muy baja",IF(AG396&lt;=40%,"Baja",IF(AG396&lt;=60%,"Media",IF(AG396&lt;=80%,"Alta","Muy alta")))))</f>
        <v>Muy baja</v>
      </c>
      <c r="AG396" s="145">
        <f>IF(Y396=[12]Listas!$G$53,AG395-(AG395*AB396),AG395)</f>
        <v>0.12959999999999999</v>
      </c>
      <c r="AH396" s="562"/>
      <c r="AI396" s="305" t="str">
        <f t="shared" si="55"/>
        <v>Catastrófico</v>
      </c>
      <c r="AJ396" s="145">
        <f>IF(Y396=[12]Listas!$G$55,AJ395-(AJ395*AB396),AJ395)</f>
        <v>1</v>
      </c>
      <c r="AK396" s="562"/>
      <c r="AL396" s="565"/>
      <c r="AM396" s="565"/>
      <c r="AN396" s="565"/>
      <c r="AO396" s="568"/>
      <c r="AP396" s="571"/>
      <c r="AQ396" s="344"/>
      <c r="AR396" s="191"/>
    </row>
    <row r="397" spans="2:44" ht="16" hidden="1" customHeight="1" thickTop="1" thickBot="1" x14ac:dyDescent="0.4">
      <c r="B397" s="537"/>
      <c r="C397" s="280"/>
      <c r="D397" s="610"/>
      <c r="E397" s="577"/>
      <c r="F397" s="625"/>
      <c r="G397" s="583"/>
      <c r="H397" s="586"/>
      <c r="I397" s="589"/>
      <c r="J397" s="589"/>
      <c r="K397" s="592"/>
      <c r="L397" s="589"/>
      <c r="M397" s="595"/>
      <c r="N397" s="598"/>
      <c r="O397" s="601"/>
      <c r="P397" s="595"/>
      <c r="Q397" s="604"/>
      <c r="R397" s="601"/>
      <c r="S397" s="288"/>
      <c r="T397" s="604"/>
      <c r="U397" s="142" t="s">
        <v>208</v>
      </c>
      <c r="V397" s="415"/>
      <c r="W397" s="319"/>
      <c r="X397" s="320" t="str">
        <f>IF(W397=[12]Listas!$B$46,[12]Listas!$C$46,IF(W397=[12]Listas!$B$47,[12]Listas!$C$47,IF(W397=[12]Listas!$B$48,[12]Listas!$C$48,"")))</f>
        <v/>
      </c>
      <c r="Y397" s="321" t="str">
        <f>IF(OR(W397=[12]Listas!$F$53,W397=[12]Listas!$F$54),[12]Listas!$G$53,IF(W397=[12]Listas!$F$55,[12]Listas!$G$55,""))</f>
        <v/>
      </c>
      <c r="Z397" s="319"/>
      <c r="AA397" s="182" t="str">
        <f>+IF(Z397=[12]Listas!$E$46,[12]Listas!$F$46,IF(Z397=[12]Listas!$E$47,[12]Listas!$F$47,""))</f>
        <v/>
      </c>
      <c r="AB397" s="183" t="str">
        <f t="shared" si="59"/>
        <v/>
      </c>
      <c r="AC397" s="319"/>
      <c r="AD397" s="322"/>
      <c r="AE397" s="323"/>
      <c r="AF397" s="305" t="str">
        <f t="shared" si="60"/>
        <v>Muy baja</v>
      </c>
      <c r="AG397" s="145">
        <f>IF(Y397=[12]Listas!$G$53,AG396-(AG396*AB397),AG396)</f>
        <v>0.12959999999999999</v>
      </c>
      <c r="AH397" s="562"/>
      <c r="AI397" s="305" t="str">
        <f t="shared" si="55"/>
        <v>Catastrófico</v>
      </c>
      <c r="AJ397" s="145">
        <f>IF(Y397=[12]Listas!$G$55,AJ396-(AJ396*AB397),AJ396)</f>
        <v>1</v>
      </c>
      <c r="AK397" s="562"/>
      <c r="AL397" s="565"/>
      <c r="AM397" s="565"/>
      <c r="AN397" s="565"/>
      <c r="AO397" s="568"/>
      <c r="AP397" s="571"/>
      <c r="AQ397" s="344"/>
      <c r="AR397" s="191"/>
    </row>
    <row r="398" spans="2:44" ht="15.65" hidden="1" customHeight="1" thickTop="1" thickBot="1" x14ac:dyDescent="0.4">
      <c r="B398" s="537"/>
      <c r="C398" s="280"/>
      <c r="D398" s="610"/>
      <c r="E398" s="577"/>
      <c r="F398" s="625"/>
      <c r="G398" s="583"/>
      <c r="H398" s="586"/>
      <c r="I398" s="589"/>
      <c r="J398" s="589"/>
      <c r="K398" s="592"/>
      <c r="L398" s="589"/>
      <c r="M398" s="595"/>
      <c r="N398" s="598"/>
      <c r="O398" s="601"/>
      <c r="P398" s="595"/>
      <c r="Q398" s="604"/>
      <c r="R398" s="601"/>
      <c r="S398" s="289"/>
      <c r="T398" s="604"/>
      <c r="U398" s="142" t="s">
        <v>215</v>
      </c>
      <c r="V398" s="418"/>
      <c r="W398" s="331"/>
      <c r="X398" s="320" t="str">
        <f>IF(W398=[12]Listas!$B$46,[12]Listas!$C$46,IF(W398=[12]Listas!$B$47,[12]Listas!$C$47,IF(W398=[12]Listas!$B$48,[12]Listas!$C$48,"")))</f>
        <v/>
      </c>
      <c r="Y398" s="321" t="str">
        <f>IF(OR(W398=[12]Listas!$F$53,W398=[12]Listas!$F$54),[12]Listas!$G$53,IF(W398=[12]Listas!$F$55,[12]Listas!$G$55,""))</f>
        <v/>
      </c>
      <c r="Z398" s="331"/>
      <c r="AA398" s="182" t="str">
        <f>+IF(Z398=[12]Listas!$E$46,[12]Listas!$F$46,IF(Z398=[12]Listas!$E$47,[12]Listas!$F$47,""))</f>
        <v/>
      </c>
      <c r="AB398" s="183" t="str">
        <f t="shared" si="59"/>
        <v/>
      </c>
      <c r="AC398" s="319"/>
      <c r="AD398" s="322"/>
      <c r="AE398" s="323"/>
      <c r="AF398" s="305" t="str">
        <f t="shared" si="60"/>
        <v>Muy baja</v>
      </c>
      <c r="AG398" s="145">
        <f>IF(Y398=[12]Listas!$G$53,AG397-(AG397*AB398),AG397)</f>
        <v>0.12959999999999999</v>
      </c>
      <c r="AH398" s="562"/>
      <c r="AI398" s="305" t="str">
        <f t="shared" si="55"/>
        <v>Catastrófico</v>
      </c>
      <c r="AJ398" s="145">
        <f>IF(Y398=[12]Listas!$G$55,AJ397-(AJ397*AB398),AJ397)</f>
        <v>1</v>
      </c>
      <c r="AK398" s="562"/>
      <c r="AL398" s="565"/>
      <c r="AM398" s="565"/>
      <c r="AN398" s="565"/>
      <c r="AO398" s="568"/>
      <c r="AP398" s="571"/>
      <c r="AQ398" s="344"/>
      <c r="AR398" s="191"/>
    </row>
    <row r="399" spans="2:44" ht="15.65" hidden="1" customHeight="1" thickTop="1" thickBot="1" x14ac:dyDescent="0.4">
      <c r="B399" s="537"/>
      <c r="C399" s="280"/>
      <c r="D399" s="610"/>
      <c r="E399" s="577"/>
      <c r="F399" s="625"/>
      <c r="G399" s="583"/>
      <c r="H399" s="586"/>
      <c r="I399" s="589"/>
      <c r="J399" s="589"/>
      <c r="K399" s="592"/>
      <c r="L399" s="589"/>
      <c r="M399" s="595"/>
      <c r="N399" s="598"/>
      <c r="O399" s="601"/>
      <c r="P399" s="595"/>
      <c r="Q399" s="604"/>
      <c r="R399" s="601"/>
      <c r="S399" s="289"/>
      <c r="T399" s="604"/>
      <c r="U399" s="142" t="s">
        <v>220</v>
      </c>
      <c r="V399" s="418"/>
      <c r="W399" s="331"/>
      <c r="X399" s="320" t="str">
        <f>IF(W399=[12]Listas!$B$46,[12]Listas!$C$46,IF(W399=[12]Listas!$B$47,[12]Listas!$C$47,IF(W399=[12]Listas!$B$48,[12]Listas!$C$48,"")))</f>
        <v/>
      </c>
      <c r="Y399" s="321" t="str">
        <f>IF(OR(W399=[12]Listas!$F$53,W399=[12]Listas!$F$54),[12]Listas!$G$53,IF(W399=[12]Listas!$F$55,[12]Listas!$G$55,""))</f>
        <v/>
      </c>
      <c r="Z399" s="331"/>
      <c r="AA399" s="182" t="str">
        <f>+IF(Z399=[12]Listas!$E$46,[12]Listas!$F$46,IF(Z399=[12]Listas!$E$47,[12]Listas!$F$47,""))</f>
        <v/>
      </c>
      <c r="AB399" s="183" t="str">
        <f t="shared" si="59"/>
        <v/>
      </c>
      <c r="AC399" s="319"/>
      <c r="AD399" s="322"/>
      <c r="AE399" s="323"/>
      <c r="AF399" s="305" t="str">
        <f t="shared" si="60"/>
        <v>Muy baja</v>
      </c>
      <c r="AG399" s="145">
        <f>IF(Y399=[12]Listas!$G$53,AG398-(AG398*AB399),AG398)</f>
        <v>0.12959999999999999</v>
      </c>
      <c r="AH399" s="562"/>
      <c r="AI399" s="305" t="str">
        <f t="shared" si="55"/>
        <v>Catastrófico</v>
      </c>
      <c r="AJ399" s="145">
        <f>IF(Y399=[12]Listas!$G$55,AJ398-(AJ398*AB399),AJ398)</f>
        <v>1</v>
      </c>
      <c r="AK399" s="562"/>
      <c r="AL399" s="565"/>
      <c r="AM399" s="565"/>
      <c r="AN399" s="565"/>
      <c r="AO399" s="568"/>
      <c r="AP399" s="571"/>
      <c r="AQ399" s="344"/>
      <c r="AR399" s="191"/>
    </row>
    <row r="400" spans="2:44" ht="15.65" hidden="1" customHeight="1" thickTop="1" thickBot="1" x14ac:dyDescent="0.4">
      <c r="B400" s="537"/>
      <c r="C400" s="280"/>
      <c r="D400" s="610"/>
      <c r="E400" s="577"/>
      <c r="F400" s="625"/>
      <c r="G400" s="583"/>
      <c r="H400" s="586"/>
      <c r="I400" s="589"/>
      <c r="J400" s="589"/>
      <c r="K400" s="592"/>
      <c r="L400" s="589"/>
      <c r="M400" s="595"/>
      <c r="N400" s="598"/>
      <c r="O400" s="601"/>
      <c r="P400" s="595"/>
      <c r="Q400" s="604"/>
      <c r="R400" s="601"/>
      <c r="S400" s="289"/>
      <c r="T400" s="604"/>
      <c r="U400" s="142" t="s">
        <v>223</v>
      </c>
      <c r="V400" s="418"/>
      <c r="W400" s="331"/>
      <c r="X400" s="320" t="str">
        <f>IF(W400=[12]Listas!$B$46,[12]Listas!$C$46,IF(W400=[12]Listas!$B$47,[12]Listas!$C$47,IF(W400=[12]Listas!$B$48,[12]Listas!$C$48,"")))</f>
        <v/>
      </c>
      <c r="Y400" s="321" t="str">
        <f>IF(OR(W400=[12]Listas!$F$53,W400=[12]Listas!$F$54),[12]Listas!$G$53,IF(W400=[12]Listas!$F$55,[12]Listas!$G$55,""))</f>
        <v/>
      </c>
      <c r="Z400" s="331"/>
      <c r="AA400" s="182" t="str">
        <f>+IF(Z400=[12]Listas!$E$46,[12]Listas!$F$46,IF(Z400=[12]Listas!$E$47,[12]Listas!$F$47,""))</f>
        <v/>
      </c>
      <c r="AB400" s="183" t="str">
        <f t="shared" si="59"/>
        <v/>
      </c>
      <c r="AC400" s="319"/>
      <c r="AD400" s="322"/>
      <c r="AE400" s="323"/>
      <c r="AF400" s="305" t="str">
        <f t="shared" si="60"/>
        <v>Muy baja</v>
      </c>
      <c r="AG400" s="145">
        <f>IF(Y400=[12]Listas!$G$53,AG399-(AG399*AB400),AG399)</f>
        <v>0.12959999999999999</v>
      </c>
      <c r="AH400" s="562"/>
      <c r="AI400" s="305" t="str">
        <f t="shared" si="55"/>
        <v>Catastrófico</v>
      </c>
      <c r="AJ400" s="145">
        <f>IF(Y400=[12]Listas!$G$55,AJ399-(AJ399*AB400),AJ399)</f>
        <v>1</v>
      </c>
      <c r="AK400" s="562"/>
      <c r="AL400" s="565"/>
      <c r="AM400" s="565"/>
      <c r="AN400" s="565"/>
      <c r="AO400" s="568"/>
      <c r="AP400" s="571"/>
      <c r="AQ400" s="344"/>
      <c r="AR400" s="191"/>
    </row>
    <row r="401" spans="2:70" ht="16" hidden="1" customHeight="1" thickTop="1" thickBot="1" x14ac:dyDescent="0.4">
      <c r="B401" s="537"/>
      <c r="C401" s="280"/>
      <c r="D401" s="611"/>
      <c r="E401" s="578"/>
      <c r="F401" s="626"/>
      <c r="G401" s="584"/>
      <c r="H401" s="587"/>
      <c r="I401" s="590"/>
      <c r="J401" s="590"/>
      <c r="K401" s="593"/>
      <c r="L401" s="590"/>
      <c r="M401" s="596"/>
      <c r="N401" s="599"/>
      <c r="O401" s="602"/>
      <c r="P401" s="596"/>
      <c r="Q401" s="605"/>
      <c r="R401" s="602"/>
      <c r="S401" s="293"/>
      <c r="T401" s="605"/>
      <c r="U401" s="202" t="s">
        <v>224</v>
      </c>
      <c r="V401" s="416"/>
      <c r="W401" s="335"/>
      <c r="X401" s="336" t="str">
        <f>IF(W401=[12]Listas!$B$46,[12]Listas!$C$46,IF(W401=[12]Listas!$B$47,[12]Listas!$C$47,IF(W401=[12]Listas!$B$48,[12]Listas!$C$48,"")))</f>
        <v/>
      </c>
      <c r="Y401" s="337" t="str">
        <f>IF(OR(W401=[12]Listas!$F$53,W401=[12]Listas!$F$54),[12]Listas!$G$53,IF(W401=[12]Listas!$F$55,[12]Listas!$G$55,""))</f>
        <v/>
      </c>
      <c r="Z401" s="335"/>
      <c r="AA401" s="186" t="str">
        <f>+IF(Z401=[12]Listas!$E$46,[12]Listas!$F$46,IF(Z401=[12]Listas!$E$47,[12]Listas!$F$47,""))</f>
        <v/>
      </c>
      <c r="AB401" s="187" t="str">
        <f t="shared" si="59"/>
        <v/>
      </c>
      <c r="AC401" s="338"/>
      <c r="AD401" s="339"/>
      <c r="AE401" s="340"/>
      <c r="AF401" s="311" t="str">
        <f t="shared" si="60"/>
        <v>Muy baja</v>
      </c>
      <c r="AG401" s="179">
        <f>IF(Y401=[12]Listas!$G$53,AG400-(AG400*AB401),AG400)</f>
        <v>0.12959999999999999</v>
      </c>
      <c r="AH401" s="563"/>
      <c r="AI401" s="311" t="str">
        <f t="shared" si="55"/>
        <v>Catastrófico</v>
      </c>
      <c r="AJ401" s="179">
        <f>IF(Y401=[12]Listas!$G$55,AJ400-(AJ400*AB401),AJ400)</f>
        <v>1</v>
      </c>
      <c r="AK401" s="563"/>
      <c r="AL401" s="566"/>
      <c r="AM401" s="566"/>
      <c r="AN401" s="566"/>
      <c r="AO401" s="569"/>
      <c r="AP401" s="572"/>
      <c r="AQ401" s="346"/>
      <c r="AR401" s="192"/>
    </row>
    <row r="402" spans="2:70" ht="152.25" customHeight="1" thickTop="1" thickBot="1" x14ac:dyDescent="0.4">
      <c r="B402" s="537"/>
      <c r="C402" s="559" t="s">
        <v>101</v>
      </c>
      <c r="D402" s="573" t="s">
        <v>575</v>
      </c>
      <c r="E402" s="576" t="s">
        <v>4</v>
      </c>
      <c r="F402" s="677" t="s">
        <v>576</v>
      </c>
      <c r="G402" s="685" t="s">
        <v>546</v>
      </c>
      <c r="H402" s="688" t="s">
        <v>547</v>
      </c>
      <c r="I402" s="588" t="s">
        <v>20</v>
      </c>
      <c r="J402" s="588" t="s">
        <v>22</v>
      </c>
      <c r="K402" s="591" t="s">
        <v>577</v>
      </c>
      <c r="L402" s="588" t="s">
        <v>186</v>
      </c>
      <c r="M402" s="594" t="s">
        <v>207</v>
      </c>
      <c r="N402" s="597" t="str">
        <f>+IF(M402="","",IF(M402=$BO$15,$BN$15,IF(M402=$BO$16,$BN$16,IF(M402=$BO$17,$BN$17,IF(M402=$BO$18,$BN$18,IF(M402=$BO$19,$BN$19))))))</f>
        <v>Baja</v>
      </c>
      <c r="O402" s="600">
        <f>+IF(M402="","",IF(M402=$BO$15,$BR$15,IF(M402=$BO$16,$BR$16,IF(M402=$BO$17,$BR$17,IF(M402=$BO$18,$BR$18,IF(M402=$BO$19,$BR$19))))))</f>
        <v>0.4</v>
      </c>
      <c r="P402" s="594" t="s">
        <v>212</v>
      </c>
      <c r="Q402" s="603" t="str">
        <f>+IF(P402="","",IF(P402='[13]Mapa de Calor inherente'!$AF$6,'[13]Mapa de Calor inherente'!$AD$6,IF(P402='[13]Mapa de Calor inherente'!$AF$7,'[13]Mapa de Calor inherente'!$AD$7,IF(P402='[13]Mapa de Calor inherente'!$AF$8,'[13]Mapa de Calor inherente'!$AD$8,IF(P402='[13]Mapa de Calor inherente'!$AF$9,'[13]Mapa de Calor inherente'!$AD$9,IF(P402='[13]Mapa de Calor inherente'!$AF$10,'[13]Mapa de Calor inherente'!$AD$10,IF(P402='[13]Mapa de Calor inherente'!$AG$6,'[13]Mapa de Calor inherente'!$AD$6,IF(P402='[13]Mapa de Calor inherente'!$AG$7,'[13]Mapa de Calor inherente'!$AD$7,IF(P402='[13]Mapa de Calor inherente'!$AG$8,'[13]Mapa de Calor inherente'!$AD$8,IF(P402='[13]Mapa de Calor inherente'!$AG$9,'[13]Mapa de Calor inherente'!$AD$9,IF(P402='[13]Mapa de Calor inherente'!$AG$10,'[13]Mapa de Calor inherente'!$AD$10,IF(P402='[13]Mapa de Calor inherente'!$AD$8,'[13]Mapa de Calor inherente'!$AD$8,IF(P402='[13]Mapa de Calor inherente'!$AD$9,'[13]Mapa de Calor inherente'!$AD$9,IF(P402='[13]Mapa de Calor inherente'!$AD$10,'[13]Mapa de Calor inherente'!$AD$10))))))))))))))</f>
        <v>Moderado</v>
      </c>
      <c r="R402" s="600">
        <f>+IF(P402="","",IF(P402='[13]Mapa de Calor inherente'!$AF$6,'[13]Mapa de Calor inherente'!$AE$6,IF(P402='[13]Mapa de Calor inherente'!$AF$7,'[13]Mapa de Calor inherente'!$AE$7,IF(P402='[13]Mapa de Calor inherente'!$AF$8,'[13]Mapa de Calor inherente'!$AE$8,IF(P402='[13]Mapa de Calor inherente'!$AF$9,'[13]Mapa de Calor inherente'!$AE$9,IF(P402='[13]Mapa de Calor inherente'!$AF$10,'[13]Mapa de Calor inherente'!$AE$10,IF(P402='[13]Mapa de Calor inherente'!$AG$6,'[13]Mapa de Calor inherente'!$AE$6,IF(P402='[13]Mapa de Calor inherente'!$AG$7,'[13]Mapa de Calor inherente'!$AE$7,IF(P402='[13]Mapa de Calor inherente'!$AG$8,'[13]Mapa de Calor inherente'!$AE$8,IF(P402='[13]Mapa de Calor inherente'!$AG$9,'[13]Mapa de Calor inherente'!$AE$9,IF(P402='[13]Mapa de Calor inherente'!$AG$10,'[13]Mapa de Calor inherente'!$AE$10,IF(P402='[13]Mapa de Calor inherente'!$AD$8,'[13]Mapa de Calor inherente'!$AE$8,IF(P402='[13]Mapa de Calor inherente'!$AD$9,'[13]Mapa de Calor inherente'!$AE$9,IF(P402='[13]Mapa de Calor inherente'!$AD$10,'[13]Mapa de Calor inherente'!$AE$10))))))))))))))</f>
        <v>0.6</v>
      </c>
      <c r="S402" s="282">
        <f>IF(O402="","",IF(R402="","",(O402*R402)))</f>
        <v>0.24</v>
      </c>
      <c r="T402" s="603" t="str">
        <f>+IF(N402=$BB$17,IF(Q402=$BC$16,$BC$17,IF(Q402=$BD$16,$BD$17,IF(Q402=$BE$16,$BE$17,IF(Q402=$BF$16,$BF$17,IF(Q402=$BG$16,$BG$17))))),IF(N402=$BB$18,IF(Q402=$BC$16,$BC$18,IF(Q402=$BD$16,$BD$18,IF(Q402=$BE$16,$BE$18,IF(Q402=$BF$16,$BF$18,IF(Q402=$BG$16,$BG$18))))),IF(N402=$BB$19,IF(Q402=$BC$16,$BC$19,IF(Q402=$BD$16,$BD$19,IF(Q402=$BE$16,$BE$19,IF(Q402=$BF$16,$BF$19,IF(Q402=$BG$16,$BG$19))))),IF(N402=$BB$20,IF(Q402=$BC$16,$BC$20,IF(Q402=$BD$16,$BD$20,IF(Q402=$BE$16,$BE$20,IF(Q402=$BF$16,$BF$20,IF(Q402=$BG$16,$BG$20))))),IF(N402=$BB$21,IF(Q402=$BC$16,$BC$21,IF(Q402=$BD$16,$BD$21,IF(Q402=$BE$16,$BE$21,IF(Q402=$BF$16,$BF$21,IF(Q402=$BG$16,$BG$21))))),"")))))</f>
        <v>Moderado</v>
      </c>
      <c r="U402" s="139" t="s">
        <v>171</v>
      </c>
      <c r="V402" s="474" t="s">
        <v>578</v>
      </c>
      <c r="W402" s="379" t="s">
        <v>40</v>
      </c>
      <c r="X402" s="296">
        <f>IF(W402=[13]Listas!$B$46,[13]Listas!$C$46,IF(W402=[13]Listas!$B$47,[13]Listas!$C$47,IF(W402=[13]Listas!$B$48,[13]Listas!$C$48,"")))</f>
        <v>0.25</v>
      </c>
      <c r="Y402" s="297" t="str">
        <f>IF(OR(W402=[13]Listas!$F$53,W402=[13]Listas!$F$54),[13]Listas!$G$53,IF(W402=[13]Listas!$F$55,[13]Listas!$G$55,""))</f>
        <v>Probabilidad</v>
      </c>
      <c r="Z402" s="295" t="s">
        <v>43</v>
      </c>
      <c r="AA402" s="296">
        <f>+IF(Z402=[13]Listas!$E$46,[13]Listas!$F$46,IF(Z402=[13]Listas!$E$47,[13]Listas!$F$47,""))</f>
        <v>0.15</v>
      </c>
      <c r="AB402" s="140">
        <f>IFERROR(X402+AA402,"")</f>
        <v>0.4</v>
      </c>
      <c r="AC402" s="291" t="s">
        <v>57</v>
      </c>
      <c r="AD402" s="295" t="s">
        <v>58</v>
      </c>
      <c r="AE402" s="298" t="s">
        <v>59</v>
      </c>
      <c r="AF402" s="299" t="str">
        <f t="shared" si="60"/>
        <v>Baja</v>
      </c>
      <c r="AG402" s="141">
        <f>IF(Y402=[13]Listas!$G$53,O402-(O402*AB402),O402)</f>
        <v>0.24</v>
      </c>
      <c r="AH402" s="561">
        <f>+IF(AG411="","",AG411)</f>
        <v>1.8662399999999996E-2</v>
      </c>
      <c r="AI402" s="299" t="str">
        <f>IF(AJ402="","",IF(AJ402&lt;=20%,"Leve",IF(AJ402&lt;=40%,"Menor",IF(AJ402&lt;=60%,"Moderado",IF(AJ402&lt;=80%,"Mayor","Catastrófico")))))</f>
        <v>Moderado</v>
      </c>
      <c r="AJ402" s="141">
        <f>IF(Y402=[13]Listas!$G$55,R402-(R402*AB402),R402)</f>
        <v>0.6</v>
      </c>
      <c r="AK402" s="561">
        <f>+IF(AJ411="","",AJ411)</f>
        <v>0.6</v>
      </c>
      <c r="AL402" s="564" t="str">
        <f>+IF(AH402=0,"",IF(AH402&lt;=$BA$21,$BB$21,IF(AH402&lt;=$BA$20,$BB$20,IF(AH402&lt;=$BA$19,$BB$19,IF(AH402&lt;=$BA$18,$BB$18,IF(AH402&lt;=$BA$17,$BB$17,""))))))</f>
        <v>Muy Baja</v>
      </c>
      <c r="AM402" s="564" t="str">
        <f>+IF(AK402=0,"",IF(AK402&lt;=$BC$15,$BC$16,IF(AK402&lt;=$BD$15,$BD$16,IF(AK402&lt;=$BE$15,$BE$16,IF(AK402&lt;=$BF$15,$BF$16,IF(AK402&lt;=$BG$15,$BG$16,""))))))</f>
        <v>Moderado</v>
      </c>
      <c r="AN402" s="564" t="str">
        <f>IF(AL402=$BB$17,IF(AM402=$BC$16,$BC$17,IF(AM402=$BD$16,$BD$17,IF(AM402=$BE$16,$BE$17,IF(AM402=$BF$16,$BF$17,IF(AM402=$BG$16,$BG$17))))),IF(AL402=$BB$18,IF(AM402=$BC$16,$BC$18,IF(AM402=$BD$16,$BD$18,IF(AM402=$BE$16,$BE$18,IF(AM402=$BF$16,$BF$18,IF(AM402=$BG$16,$BG$18))))),IF(AL402=$BB$19,IF(AM402=$BC$16,$BC$19,IF(AM402=$BD$16,$BD$19,IF(AM402=$BE$16,$BE$19,IF(AM402=$BF$16,$BF$19,IF(AM402=$BG$16,$BG$19))))),IF(AL402=$BB$20,IF(AM402=$BC$16,$BC$20,IF(AM402=$BD$16,$BD$20,IF(AM402=$BE$16,$BE$20,IF(AM402=$BF$16,$BF$20,IF(AM402=$BG$16,$BG$20))))),IF(AL402=$BB$21,IF(AM402=$BC$16,$BC$21,IF(AM402=$BD$16,$BD$21,IF(AM402=$BE$16,$BE$21,IF(AM402=$BF$16,$BF$21,IF(AM402=$BG$16,$BG$21))))),"")))))</f>
        <v>Moderado</v>
      </c>
      <c r="AO402" s="567" t="str">
        <f>IF(AP402="","",IF(AP402=[13]Listas!$F$61,[13]Listas!$G$61,IF(AP402=[13]Listas!$F$63,[13]Listas!$G$63,IF(AP402=[13]Listas!$F$64,[13]Listas!$G$64))))</f>
        <v>Requiere Plan de Acción</v>
      </c>
      <c r="AP402" s="630" t="str">
        <f>IF(AN402="","",IF(OR(AN402=[13]Listas!$E$61,AN402=[13]Listas!$E$62),[13]Listas!$F$61,IF(AN402=[13]Listas!$E$63,[13]Listas!$F$63,IF(AN402=[13]Listas!$E$64,[13]Listas!$F$64))))</f>
        <v>Aceptar o reducir el riesgo</v>
      </c>
      <c r="AQ402" s="300" t="s">
        <v>80</v>
      </c>
      <c r="AR402" s="116" t="s">
        <v>579</v>
      </c>
    </row>
    <row r="403" spans="2:70" ht="99" thickTop="1" thickBot="1" x14ac:dyDescent="0.35">
      <c r="B403" s="537"/>
      <c r="C403" s="559"/>
      <c r="D403" s="574"/>
      <c r="E403" s="577"/>
      <c r="F403" s="678"/>
      <c r="G403" s="686"/>
      <c r="H403" s="689"/>
      <c r="I403" s="589"/>
      <c r="J403" s="589"/>
      <c r="K403" s="592"/>
      <c r="L403" s="589"/>
      <c r="M403" s="595"/>
      <c r="N403" s="598"/>
      <c r="O403" s="601"/>
      <c r="P403" s="595"/>
      <c r="Q403" s="604"/>
      <c r="R403" s="601"/>
      <c r="S403" s="283"/>
      <c r="T403" s="604"/>
      <c r="U403" s="142" t="s">
        <v>174</v>
      </c>
      <c r="V403" s="475" t="s">
        <v>580</v>
      </c>
      <c r="W403" s="380" t="s">
        <v>40</v>
      </c>
      <c r="X403" s="302">
        <f>IF(W403=[13]Listas!$B$46,[13]Listas!$C$46,IF(W403=[13]Listas!$B$47,[13]Listas!$C$47,IF(W403=[13]Listas!$B$48,[13]Listas!$C$48,"")))</f>
        <v>0.25</v>
      </c>
      <c r="Y403" s="303" t="str">
        <f>IF(OR(W403=[13]Listas!$F$53,W403=[13]Listas!$F$54),[13]Listas!$G$53,IF(W403=[13]Listas!$F$55,[13]Listas!$G$55,""))</f>
        <v>Probabilidad</v>
      </c>
      <c r="Z403" s="301" t="s">
        <v>43</v>
      </c>
      <c r="AA403" s="143">
        <f>+IF(Z403=[13]Listas!$E$46,[13]Listas!$F$46,IF(Z403=[13]Listas!$E$47,[13]Listas!$F$47,""))</f>
        <v>0.15</v>
      </c>
      <c r="AB403" s="144">
        <f>IFERROR(X403+AA403,"")</f>
        <v>0.4</v>
      </c>
      <c r="AC403" s="301" t="s">
        <v>57</v>
      </c>
      <c r="AD403" s="301" t="s">
        <v>58</v>
      </c>
      <c r="AE403" s="304" t="s">
        <v>59</v>
      </c>
      <c r="AF403" s="305" t="str">
        <f t="shared" si="60"/>
        <v>Muy baja</v>
      </c>
      <c r="AG403" s="145">
        <f>IF(Y403=[13]Listas!$G$53,AG402-(AG402*AB403),AG402)</f>
        <v>0.14399999999999999</v>
      </c>
      <c r="AH403" s="562"/>
      <c r="AI403" s="305" t="str">
        <f t="shared" ref="AI403:AI421" si="61">IF(AJ403="","",IF(AJ403&lt;=20%,"Leve",IF(AJ403&lt;=40%,"Menor",IF(AJ403&lt;=60%,"Moderado",IF(AJ403&lt;=80%,"Mayor","Catastrófico")))))</f>
        <v>Moderado</v>
      </c>
      <c r="AJ403" s="145">
        <f>IF(Y403=[13]Listas!$G$55,AJ402-(AJ402*AB403),AJ402)</f>
        <v>0.6</v>
      </c>
      <c r="AK403" s="562"/>
      <c r="AL403" s="565"/>
      <c r="AM403" s="565"/>
      <c r="AN403" s="565"/>
      <c r="AO403" s="568"/>
      <c r="AP403" s="631"/>
      <c r="AQ403" s="306" t="s">
        <v>90</v>
      </c>
      <c r="AR403" s="184" t="s">
        <v>581</v>
      </c>
      <c r="AZ403" s="633" t="s">
        <v>177</v>
      </c>
      <c r="BA403" s="634"/>
      <c r="BB403" s="634"/>
      <c r="BC403" s="634"/>
      <c r="BD403" s="634"/>
      <c r="BE403" s="634"/>
      <c r="BF403" s="634"/>
      <c r="BG403" s="635"/>
      <c r="BI403" s="636" t="s">
        <v>178</v>
      </c>
      <c r="BJ403" s="637"/>
      <c r="BK403" s="637"/>
      <c r="BL403" s="638"/>
      <c r="BN403" s="639" t="s">
        <v>179</v>
      </c>
      <c r="BO403" s="640"/>
      <c r="BP403" s="641"/>
      <c r="BQ403" s="641"/>
      <c r="BR403" s="642"/>
    </row>
    <row r="404" spans="2:70" ht="146.25" customHeight="1" thickTop="1" thickBot="1" x14ac:dyDescent="0.35">
      <c r="B404" s="537"/>
      <c r="C404" s="559"/>
      <c r="D404" s="574"/>
      <c r="E404" s="577"/>
      <c r="F404" s="678"/>
      <c r="G404" s="686"/>
      <c r="H404" s="689"/>
      <c r="I404" s="589"/>
      <c r="J404" s="589"/>
      <c r="K404" s="592"/>
      <c r="L404" s="589"/>
      <c r="M404" s="595"/>
      <c r="N404" s="598"/>
      <c r="O404" s="601"/>
      <c r="P404" s="595"/>
      <c r="Q404" s="604"/>
      <c r="R404" s="601"/>
      <c r="S404" s="283"/>
      <c r="T404" s="604"/>
      <c r="U404" s="142" t="s">
        <v>180</v>
      </c>
      <c r="V404" s="476" t="s">
        <v>582</v>
      </c>
      <c r="W404" s="380" t="s">
        <v>40</v>
      </c>
      <c r="X404" s="302">
        <f>IF(W404=[13]Listas!$B$46,[13]Listas!$C$46,IF(W404=[13]Listas!$B$47,[13]Listas!$C$47,IF(W404=[13]Listas!$B$48,[13]Listas!$C$48,"")))</f>
        <v>0.25</v>
      </c>
      <c r="Y404" s="303" t="str">
        <f>IF(OR(W404=[13]Listas!$F$53,W404=[13]Listas!$F$54),[13]Listas!$G$53,IF(W404=[13]Listas!$F$55,[13]Listas!$G$55,""))</f>
        <v>Probabilidad</v>
      </c>
      <c r="Z404" s="301" t="s">
        <v>43</v>
      </c>
      <c r="AA404" s="143">
        <f>+IF(Z404=[13]Listas!$E$46,[13]Listas!$F$46,IF(Z404=[13]Listas!$E$47,[13]Listas!$F$47,""))</f>
        <v>0.15</v>
      </c>
      <c r="AB404" s="144">
        <f>IFERROR(X404+AA404,"")</f>
        <v>0.4</v>
      </c>
      <c r="AC404" s="301" t="s">
        <v>57</v>
      </c>
      <c r="AD404" s="301" t="s">
        <v>58</v>
      </c>
      <c r="AE404" s="304" t="s">
        <v>59</v>
      </c>
      <c r="AF404" s="305" t="str">
        <f t="shared" si="60"/>
        <v>Muy baja</v>
      </c>
      <c r="AG404" s="145">
        <f>IF(Y404=[13]Listas!$G$53,AG403-(AG403*AB404),AG403)</f>
        <v>8.6399999999999991E-2</v>
      </c>
      <c r="AH404" s="562"/>
      <c r="AI404" s="305" t="str">
        <f t="shared" si="61"/>
        <v>Moderado</v>
      </c>
      <c r="AJ404" s="145">
        <f>IF(Y404=[13]Listas!$G$55,AJ403-(AJ403*AB404),AJ403)</f>
        <v>0.6</v>
      </c>
      <c r="AK404" s="562"/>
      <c r="AL404" s="565"/>
      <c r="AM404" s="565"/>
      <c r="AN404" s="565"/>
      <c r="AO404" s="568"/>
      <c r="AP404" s="631"/>
      <c r="AQ404" s="306"/>
      <c r="AR404" s="191"/>
      <c r="AZ404" s="146"/>
      <c r="BA404" s="147"/>
      <c r="BB404" s="148"/>
      <c r="BC404" s="643" t="s">
        <v>70</v>
      </c>
      <c r="BD404" s="643"/>
      <c r="BE404" s="643"/>
      <c r="BF404" s="643"/>
      <c r="BG404" s="643"/>
      <c r="BI404" s="149" t="s">
        <v>183</v>
      </c>
      <c r="BJ404" s="150" t="s">
        <v>184</v>
      </c>
      <c r="BK404" s="150" t="s">
        <v>185</v>
      </c>
      <c r="BL404" s="151" t="s">
        <v>186</v>
      </c>
      <c r="BN404" s="149" t="s">
        <v>183</v>
      </c>
      <c r="BO404" s="150" t="s">
        <v>187</v>
      </c>
      <c r="BP404" s="152" t="s">
        <v>188</v>
      </c>
      <c r="BQ404" s="152" t="s">
        <v>189</v>
      </c>
      <c r="BR404" s="151" t="s">
        <v>60</v>
      </c>
    </row>
    <row r="405" spans="2:70" ht="111" customHeight="1" thickTop="1" thickBot="1" x14ac:dyDescent="0.4">
      <c r="B405" s="537"/>
      <c r="C405" s="559"/>
      <c r="D405" s="574"/>
      <c r="E405" s="577"/>
      <c r="F405" s="678"/>
      <c r="G405" s="686"/>
      <c r="H405" s="689"/>
      <c r="I405" s="589"/>
      <c r="J405" s="589"/>
      <c r="K405" s="592"/>
      <c r="L405" s="589"/>
      <c r="M405" s="595"/>
      <c r="N405" s="598"/>
      <c r="O405" s="601"/>
      <c r="P405" s="595"/>
      <c r="Q405" s="604"/>
      <c r="R405" s="601"/>
      <c r="S405" s="283"/>
      <c r="T405" s="604"/>
      <c r="U405" s="142" t="s">
        <v>190</v>
      </c>
      <c r="V405" s="476" t="s">
        <v>583</v>
      </c>
      <c r="W405" s="380" t="s">
        <v>40</v>
      </c>
      <c r="X405" s="302">
        <f>IF(W405=[13]Listas!$B$46,[13]Listas!$C$46,IF(W405=[13]Listas!$B$47,[13]Listas!$C$47,IF(W405=[13]Listas!$B$48,[13]Listas!$C$48,"")))</f>
        <v>0.25</v>
      </c>
      <c r="Y405" s="303" t="str">
        <f>IF(OR(W405=[13]Listas!$F$53,W405=[13]Listas!$F$54),[13]Listas!$G$53,IF(W405=[13]Listas!$F$55,[13]Listas!$G$55,""))</f>
        <v>Probabilidad</v>
      </c>
      <c r="Z405" s="301" t="s">
        <v>43</v>
      </c>
      <c r="AA405" s="143">
        <f>+IF(Z405=[13]Listas!$E$46,[13]Listas!$F$46,IF(Z405=[13]Listas!$E$47,[13]Listas!$F$47,""))</f>
        <v>0.15</v>
      </c>
      <c r="AB405" s="144">
        <f t="shared" ref="AB405:AB411" si="62">IFERROR(X405+AA405,"")</f>
        <v>0.4</v>
      </c>
      <c r="AC405" s="301" t="s">
        <v>57</v>
      </c>
      <c r="AD405" s="301" t="s">
        <v>58</v>
      </c>
      <c r="AE405" s="304" t="s">
        <v>59</v>
      </c>
      <c r="AF405" s="305" t="str">
        <f t="shared" si="60"/>
        <v>Muy baja</v>
      </c>
      <c r="AG405" s="145">
        <f>IF(Y405=[13]Listas!$G$53,AG404-(AG404*AB405),AG404)</f>
        <v>5.183999999999999E-2</v>
      </c>
      <c r="AH405" s="562"/>
      <c r="AI405" s="305" t="str">
        <f t="shared" si="61"/>
        <v>Moderado</v>
      </c>
      <c r="AJ405" s="145">
        <f>IF(Y405=[13]Listas!$G$55,AJ404-(AJ404*AB405),AJ404)</f>
        <v>0.6</v>
      </c>
      <c r="AK405" s="562"/>
      <c r="AL405" s="565"/>
      <c r="AM405" s="565"/>
      <c r="AN405" s="565"/>
      <c r="AO405" s="568"/>
      <c r="AP405" s="631"/>
      <c r="AQ405" s="306"/>
      <c r="AR405" s="117"/>
      <c r="AZ405" s="153"/>
      <c r="BA405" s="154"/>
      <c r="BB405" s="155" t="s">
        <v>192</v>
      </c>
      <c r="BC405" s="156">
        <v>0.2</v>
      </c>
      <c r="BD405" s="156">
        <v>0.4</v>
      </c>
      <c r="BE405" s="156">
        <v>0.6</v>
      </c>
      <c r="BF405" s="156">
        <v>0.8</v>
      </c>
      <c r="BG405" s="156">
        <v>1</v>
      </c>
      <c r="BI405" s="157" t="s">
        <v>193</v>
      </c>
      <c r="BJ405" s="158">
        <v>0.2</v>
      </c>
      <c r="BK405" s="159" t="s">
        <v>194</v>
      </c>
      <c r="BL405" s="160" t="s">
        <v>195</v>
      </c>
      <c r="BN405" s="157" t="s">
        <v>196</v>
      </c>
      <c r="BO405" s="159" t="s">
        <v>197</v>
      </c>
      <c r="BP405" s="161">
        <v>0</v>
      </c>
      <c r="BQ405" s="161">
        <v>2</v>
      </c>
      <c r="BR405" s="162">
        <v>0.2</v>
      </c>
    </row>
    <row r="406" spans="2:70" ht="171" customHeight="1" thickTop="1" thickBot="1" x14ac:dyDescent="0.4">
      <c r="B406" s="537"/>
      <c r="C406" s="559"/>
      <c r="D406" s="574"/>
      <c r="E406" s="577"/>
      <c r="F406" s="678"/>
      <c r="G406" s="686"/>
      <c r="H406" s="689"/>
      <c r="I406" s="589"/>
      <c r="J406" s="589"/>
      <c r="K406" s="592"/>
      <c r="L406" s="589"/>
      <c r="M406" s="595"/>
      <c r="N406" s="598"/>
      <c r="O406" s="601"/>
      <c r="P406" s="595"/>
      <c r="Q406" s="604"/>
      <c r="R406" s="601"/>
      <c r="S406" s="283"/>
      <c r="T406" s="604"/>
      <c r="U406" s="142" t="s">
        <v>198</v>
      </c>
      <c r="V406" s="475" t="s">
        <v>584</v>
      </c>
      <c r="W406" s="380" t="s">
        <v>40</v>
      </c>
      <c r="X406" s="302">
        <f>IF(W406=[13]Listas!$B$46,[13]Listas!$C$46,IF(W406=[13]Listas!$B$47,[13]Listas!$C$47,IF(W406=[13]Listas!$B$48,[13]Listas!$C$48,"")))</f>
        <v>0.25</v>
      </c>
      <c r="Y406" s="303" t="str">
        <f>IF(OR(W406=[13]Listas!$F$53,W406=[13]Listas!$F$54),[13]Listas!$G$53,IF(W406=[13]Listas!$F$55,[13]Listas!$G$55,""))</f>
        <v>Probabilidad</v>
      </c>
      <c r="Z406" s="301" t="s">
        <v>43</v>
      </c>
      <c r="AA406" s="143">
        <f>+IF(Z406=[13]Listas!$E$46,[13]Listas!$F$46,IF(Z406=[13]Listas!$E$47,[13]Listas!$F$47,""))</f>
        <v>0.15</v>
      </c>
      <c r="AB406" s="144">
        <f t="shared" si="62"/>
        <v>0.4</v>
      </c>
      <c r="AC406" s="301" t="s">
        <v>57</v>
      </c>
      <c r="AD406" s="301" t="s">
        <v>58</v>
      </c>
      <c r="AE406" s="304" t="s">
        <v>59</v>
      </c>
      <c r="AF406" s="305" t="str">
        <f t="shared" si="60"/>
        <v>Muy baja</v>
      </c>
      <c r="AG406" s="145">
        <f>IF(Y406=[13]Listas!$G$53,AG405-(AG405*AB406),AG405)</f>
        <v>3.1103999999999993E-2</v>
      </c>
      <c r="AH406" s="562"/>
      <c r="AI406" s="305" t="str">
        <f t="shared" si="61"/>
        <v>Moderado</v>
      </c>
      <c r="AJ406" s="145">
        <f>IF(Y406=[13]Listas!$G$55,AJ405-(AJ405*AB406),AJ405)</f>
        <v>0.6</v>
      </c>
      <c r="AK406" s="562"/>
      <c r="AL406" s="565"/>
      <c r="AM406" s="565"/>
      <c r="AN406" s="565"/>
      <c r="AO406" s="568"/>
      <c r="AP406" s="631"/>
      <c r="AQ406" s="306"/>
      <c r="AR406" s="117"/>
      <c r="AZ406" s="153"/>
      <c r="BA406" s="154"/>
      <c r="BB406" s="163" t="s">
        <v>200</v>
      </c>
      <c r="BC406" s="164" t="s">
        <v>193</v>
      </c>
      <c r="BD406" s="164" t="s">
        <v>201</v>
      </c>
      <c r="BE406" s="164" t="s">
        <v>83</v>
      </c>
      <c r="BF406" s="164" t="s">
        <v>202</v>
      </c>
      <c r="BG406" s="164" t="s">
        <v>203</v>
      </c>
      <c r="BI406" s="165" t="s">
        <v>201</v>
      </c>
      <c r="BJ406" s="158">
        <v>0.4</v>
      </c>
      <c r="BK406" s="166" t="s">
        <v>204</v>
      </c>
      <c r="BL406" s="167" t="s">
        <v>205</v>
      </c>
      <c r="BN406" s="165" t="s">
        <v>206</v>
      </c>
      <c r="BO406" s="166" t="s">
        <v>207</v>
      </c>
      <c r="BP406" s="161">
        <v>3</v>
      </c>
      <c r="BQ406" s="161">
        <v>24</v>
      </c>
      <c r="BR406" s="162">
        <v>0.4</v>
      </c>
    </row>
    <row r="407" spans="2:70" ht="122.25" customHeight="1" thickTop="1" thickBot="1" x14ac:dyDescent="0.4">
      <c r="B407" s="537"/>
      <c r="C407" s="559"/>
      <c r="D407" s="574"/>
      <c r="E407" s="577"/>
      <c r="F407" s="678"/>
      <c r="G407" s="686"/>
      <c r="H407" s="689"/>
      <c r="I407" s="589"/>
      <c r="J407" s="589"/>
      <c r="K407" s="592"/>
      <c r="L407" s="589"/>
      <c r="M407" s="595"/>
      <c r="N407" s="598"/>
      <c r="O407" s="601"/>
      <c r="P407" s="595"/>
      <c r="Q407" s="604"/>
      <c r="R407" s="601"/>
      <c r="S407" s="283"/>
      <c r="T407" s="604"/>
      <c r="U407" s="142" t="s">
        <v>208</v>
      </c>
      <c r="V407" s="477" t="s">
        <v>585</v>
      </c>
      <c r="W407" s="380" t="s">
        <v>40</v>
      </c>
      <c r="X407" s="302">
        <f>IF(W407=[13]Listas!$B$46,[13]Listas!$C$46,IF(W407=[13]Listas!$B$47,[13]Listas!$C$47,IF(W407=[13]Listas!$B$48,[13]Listas!$C$48,"")))</f>
        <v>0.25</v>
      </c>
      <c r="Y407" s="303" t="str">
        <f>IF(OR(W407=[13]Listas!$F$53,W407=[13]Listas!$F$54),[13]Listas!$G$53,IF(W407=[13]Listas!$F$55,[13]Listas!$G$55,""))</f>
        <v>Probabilidad</v>
      </c>
      <c r="Z407" s="301" t="s">
        <v>43</v>
      </c>
      <c r="AA407" s="143">
        <f>+IF(Z407=[13]Listas!$E$46,[13]Listas!$F$46,IF(Z407=[13]Listas!$E$47,[13]Listas!$F$47,""))</f>
        <v>0.15</v>
      </c>
      <c r="AB407" s="144">
        <f t="shared" si="62"/>
        <v>0.4</v>
      </c>
      <c r="AC407" s="301" t="s">
        <v>57</v>
      </c>
      <c r="AD407" s="301" t="s">
        <v>58</v>
      </c>
      <c r="AE407" s="304" t="s">
        <v>59</v>
      </c>
      <c r="AF407" s="305" t="str">
        <f t="shared" si="60"/>
        <v>Muy baja</v>
      </c>
      <c r="AG407" s="145">
        <f>IF(Y407=[13]Listas!$G$53,AG406-(AG406*AB407),AG406)</f>
        <v>1.8662399999999996E-2</v>
      </c>
      <c r="AH407" s="562"/>
      <c r="AI407" s="305" t="str">
        <f t="shared" si="61"/>
        <v>Moderado</v>
      </c>
      <c r="AJ407" s="145">
        <f>IF(Y407=[13]Listas!$G$55,AJ406-(AJ406*AB407),AJ406)</f>
        <v>0.6</v>
      </c>
      <c r="AK407" s="562"/>
      <c r="AL407" s="565"/>
      <c r="AM407" s="565"/>
      <c r="AN407" s="565"/>
      <c r="AO407" s="568"/>
      <c r="AP407" s="631"/>
      <c r="AQ407" s="306"/>
      <c r="AR407" s="117"/>
      <c r="AZ407" s="644" t="s">
        <v>60</v>
      </c>
      <c r="BA407" s="168">
        <v>1</v>
      </c>
      <c r="BB407" s="164" t="s">
        <v>210</v>
      </c>
      <c r="BC407" s="169" t="s">
        <v>81</v>
      </c>
      <c r="BD407" s="169" t="s">
        <v>81</v>
      </c>
      <c r="BE407" s="169" t="s">
        <v>81</v>
      </c>
      <c r="BF407" s="169" t="s">
        <v>81</v>
      </c>
      <c r="BG407" s="170" t="s">
        <v>77</v>
      </c>
      <c r="BI407" s="171" t="s">
        <v>83</v>
      </c>
      <c r="BJ407" s="158">
        <v>0.6</v>
      </c>
      <c r="BK407" s="166" t="s">
        <v>211</v>
      </c>
      <c r="BL407" s="167" t="s">
        <v>212</v>
      </c>
      <c r="BN407" s="171" t="s">
        <v>213</v>
      </c>
      <c r="BO407" s="166" t="s">
        <v>214</v>
      </c>
      <c r="BP407" s="161">
        <v>25</v>
      </c>
      <c r="BQ407" s="161">
        <v>500</v>
      </c>
      <c r="BR407" s="162">
        <v>0.6</v>
      </c>
    </row>
    <row r="408" spans="2:70" ht="30.75" hidden="1" customHeight="1" thickBot="1" x14ac:dyDescent="0.4">
      <c r="B408" s="537"/>
      <c r="C408" s="559"/>
      <c r="D408" s="574"/>
      <c r="E408" s="577"/>
      <c r="F408" s="678"/>
      <c r="G408" s="686"/>
      <c r="H408" s="689"/>
      <c r="I408" s="589"/>
      <c r="J408" s="589"/>
      <c r="K408" s="592"/>
      <c r="L408" s="589"/>
      <c r="M408" s="595"/>
      <c r="N408" s="598"/>
      <c r="O408" s="601"/>
      <c r="P408" s="595"/>
      <c r="Q408" s="604"/>
      <c r="R408" s="601"/>
      <c r="S408" s="283"/>
      <c r="T408" s="604"/>
      <c r="U408" s="142" t="s">
        <v>215</v>
      </c>
      <c r="V408" s="418"/>
      <c r="W408" s="301"/>
      <c r="X408" s="302" t="str">
        <f>IF(W408=[13]Listas!$B$46,[13]Listas!$C$46,IF(W408=[13]Listas!$B$47,[13]Listas!$C$47,IF(W408=[13]Listas!$B$48,[13]Listas!$C$48,"")))</f>
        <v/>
      </c>
      <c r="Y408" s="303" t="str">
        <f>IF(OR(W408=[13]Listas!$F$53,W408=[13]Listas!$F$54),[13]Listas!$G$53,IF(W408=[13]Listas!$F$55,[13]Listas!$G$55,""))</f>
        <v/>
      </c>
      <c r="Z408" s="301"/>
      <c r="AA408" s="143" t="str">
        <f>+IF(Z408=[13]Listas!$E$46,[13]Listas!$F$46,IF(Z408=[13]Listas!$E$47,[13]Listas!$F$47,""))</f>
        <v/>
      </c>
      <c r="AB408" s="144" t="str">
        <f t="shared" si="62"/>
        <v/>
      </c>
      <c r="AC408" s="301"/>
      <c r="AD408" s="301"/>
      <c r="AE408" s="304"/>
      <c r="AF408" s="305" t="str">
        <f t="shared" si="60"/>
        <v>Muy baja</v>
      </c>
      <c r="AG408" s="145">
        <f>IF(Y408=[13]Listas!$G$53,AG407-(AG407*AB408),AG407)</f>
        <v>1.8662399999999996E-2</v>
      </c>
      <c r="AH408" s="562"/>
      <c r="AI408" s="305" t="str">
        <f t="shared" si="61"/>
        <v>Moderado</v>
      </c>
      <c r="AJ408" s="145">
        <f>IF(Y408=[13]Listas!$G$55,AJ407-(AJ407*AB408),AJ407)</f>
        <v>0.6</v>
      </c>
      <c r="AK408" s="562"/>
      <c r="AL408" s="565"/>
      <c r="AM408" s="565"/>
      <c r="AN408" s="565"/>
      <c r="AO408" s="568"/>
      <c r="AP408" s="631"/>
      <c r="AQ408" s="306"/>
      <c r="AR408" s="117"/>
      <c r="AZ408" s="644"/>
      <c r="BA408" s="168">
        <v>0.8</v>
      </c>
      <c r="BB408" s="164" t="s">
        <v>217</v>
      </c>
      <c r="BC408" s="172" t="s">
        <v>83</v>
      </c>
      <c r="BD408" s="172" t="s">
        <v>83</v>
      </c>
      <c r="BE408" s="169" t="s">
        <v>81</v>
      </c>
      <c r="BF408" s="169" t="s">
        <v>81</v>
      </c>
      <c r="BG408" s="170" t="s">
        <v>77</v>
      </c>
      <c r="BI408" s="173" t="s">
        <v>202</v>
      </c>
      <c r="BJ408" s="158">
        <v>0.8</v>
      </c>
      <c r="BK408" s="166" t="s">
        <v>218</v>
      </c>
      <c r="BL408" s="167" t="s">
        <v>219</v>
      </c>
      <c r="BN408" s="173" t="s">
        <v>217</v>
      </c>
      <c r="BO408" s="166" t="s">
        <v>169</v>
      </c>
      <c r="BP408" s="161">
        <v>5001</v>
      </c>
      <c r="BQ408" s="161">
        <v>5000</v>
      </c>
      <c r="BR408" s="162">
        <v>0.8</v>
      </c>
    </row>
    <row r="409" spans="2:70" ht="15" hidden="1" customHeight="1" thickTop="1" x14ac:dyDescent="0.35">
      <c r="B409" s="537"/>
      <c r="C409" s="559"/>
      <c r="D409" s="574"/>
      <c r="E409" s="577"/>
      <c r="F409" s="678"/>
      <c r="G409" s="686"/>
      <c r="H409" s="689"/>
      <c r="I409" s="589"/>
      <c r="J409" s="589"/>
      <c r="K409" s="592"/>
      <c r="L409" s="589"/>
      <c r="M409" s="595"/>
      <c r="N409" s="598"/>
      <c r="O409" s="601"/>
      <c r="P409" s="595"/>
      <c r="Q409" s="604"/>
      <c r="R409" s="601"/>
      <c r="S409" s="283"/>
      <c r="T409" s="604"/>
      <c r="U409" s="142" t="s">
        <v>220</v>
      </c>
      <c r="V409" s="419"/>
      <c r="W409" s="301"/>
      <c r="X409" s="302" t="str">
        <f>IF(W409=[13]Listas!$B$46,[13]Listas!$C$46,IF(W409=[13]Listas!$B$47,[13]Listas!$C$47,IF(W409=[13]Listas!$B$48,[13]Listas!$C$48,"")))</f>
        <v/>
      </c>
      <c r="Y409" s="303" t="str">
        <f>IF(OR(W409=[13]Listas!$F$53,W409=[13]Listas!$F$54),[13]Listas!$G$53,IF(W409=[13]Listas!$F$55,[13]Listas!$G$55,""))</f>
        <v/>
      </c>
      <c r="Z409" s="301"/>
      <c r="AA409" s="143" t="str">
        <f>+IF(Z409=[13]Listas!$E$46,[13]Listas!$F$46,IF(Z409=[13]Listas!$E$47,[13]Listas!$F$47,""))</f>
        <v/>
      </c>
      <c r="AB409" s="144" t="str">
        <f t="shared" si="62"/>
        <v/>
      </c>
      <c r="AC409" s="301"/>
      <c r="AD409" s="301"/>
      <c r="AE409" s="304"/>
      <c r="AF409" s="305" t="str">
        <f t="shared" si="60"/>
        <v>Muy baja</v>
      </c>
      <c r="AG409" s="145">
        <f>IF(Y409=[13]Listas!$G$53,AG408-(AG408*AB409),AG408)</f>
        <v>1.8662399999999996E-2</v>
      </c>
      <c r="AH409" s="562"/>
      <c r="AI409" s="305" t="str">
        <f t="shared" si="61"/>
        <v>Moderado</v>
      </c>
      <c r="AJ409" s="145">
        <f>IF(Y409=[13]Listas!$G$55,AJ408-(AJ408*AB409),AJ408)</f>
        <v>0.6</v>
      </c>
      <c r="AK409" s="562"/>
      <c r="AL409" s="565"/>
      <c r="AM409" s="565"/>
      <c r="AN409" s="565"/>
      <c r="AO409" s="568"/>
      <c r="AP409" s="631"/>
      <c r="AQ409" s="306"/>
      <c r="AR409" s="117"/>
      <c r="AZ409" s="644"/>
      <c r="BA409" s="168">
        <v>0.6</v>
      </c>
      <c r="BB409" s="164" t="s">
        <v>213</v>
      </c>
      <c r="BC409" s="172" t="s">
        <v>83</v>
      </c>
      <c r="BD409" s="172" t="s">
        <v>83</v>
      </c>
      <c r="BE409" s="172" t="s">
        <v>83</v>
      </c>
      <c r="BF409" s="169" t="s">
        <v>81</v>
      </c>
      <c r="BG409" s="170" t="s">
        <v>77</v>
      </c>
      <c r="BI409" s="175" t="s">
        <v>203</v>
      </c>
      <c r="BJ409" s="158">
        <v>1</v>
      </c>
      <c r="BK409" s="166" t="s">
        <v>221</v>
      </c>
      <c r="BL409" s="167" t="s">
        <v>170</v>
      </c>
      <c r="BN409" s="175" t="s">
        <v>210</v>
      </c>
      <c r="BO409" s="166" t="s">
        <v>222</v>
      </c>
      <c r="BP409" s="161">
        <v>5001</v>
      </c>
      <c r="BQ409" s="161"/>
      <c r="BR409" s="162">
        <v>1</v>
      </c>
    </row>
    <row r="410" spans="2:70" ht="15" hidden="1" customHeight="1" thickTop="1" x14ac:dyDescent="0.35">
      <c r="B410" s="537"/>
      <c r="C410" s="559"/>
      <c r="D410" s="574"/>
      <c r="E410" s="577"/>
      <c r="F410" s="678"/>
      <c r="G410" s="686"/>
      <c r="H410" s="689"/>
      <c r="I410" s="589"/>
      <c r="J410" s="589"/>
      <c r="K410" s="592"/>
      <c r="L410" s="589"/>
      <c r="M410" s="595"/>
      <c r="N410" s="598"/>
      <c r="O410" s="601"/>
      <c r="P410" s="595"/>
      <c r="Q410" s="604"/>
      <c r="R410" s="601"/>
      <c r="S410" s="283"/>
      <c r="T410" s="604"/>
      <c r="U410" s="142" t="s">
        <v>223</v>
      </c>
      <c r="V410" s="419"/>
      <c r="W410" s="301"/>
      <c r="X410" s="302" t="str">
        <f>IF(W410=[13]Listas!$B$46,[13]Listas!$C$46,IF(W410=[13]Listas!$B$47,[13]Listas!$C$47,IF(W410=[13]Listas!$B$48,[13]Listas!$C$48,"")))</f>
        <v/>
      </c>
      <c r="Y410" s="303" t="str">
        <f>IF(OR(W410=[13]Listas!$F$53,W410=[13]Listas!$F$54),[13]Listas!$G$53,IF(W410=[13]Listas!$F$55,[13]Listas!$G$55,""))</f>
        <v/>
      </c>
      <c r="Z410" s="301"/>
      <c r="AA410" s="143" t="str">
        <f>+IF(Z410=[13]Listas!$E$46,[13]Listas!$F$46,IF(Z410=[13]Listas!$E$47,[13]Listas!$F$47,""))</f>
        <v/>
      </c>
      <c r="AB410" s="144" t="str">
        <f t="shared" si="62"/>
        <v/>
      </c>
      <c r="AC410" s="301"/>
      <c r="AD410" s="301"/>
      <c r="AE410" s="304"/>
      <c r="AF410" s="305" t="str">
        <f t="shared" si="60"/>
        <v>Muy baja</v>
      </c>
      <c r="AG410" s="145">
        <f>IF(Y410=[13]Listas!$G$53,AG409-(AG409*AB410),AG409)</f>
        <v>1.8662399999999996E-2</v>
      </c>
      <c r="AH410" s="562"/>
      <c r="AI410" s="305" t="str">
        <f t="shared" si="61"/>
        <v>Moderado</v>
      </c>
      <c r="AJ410" s="145">
        <f>IF(Y410=[13]Listas!$G$55,AJ409-(AJ409*AB410),AJ409)</f>
        <v>0.6</v>
      </c>
      <c r="AK410" s="562"/>
      <c r="AL410" s="565"/>
      <c r="AM410" s="565"/>
      <c r="AN410" s="565"/>
      <c r="AO410" s="568"/>
      <c r="AP410" s="631"/>
      <c r="AQ410" s="306"/>
      <c r="AR410" s="117"/>
      <c r="AZ410" s="644"/>
      <c r="BA410" s="168">
        <v>0.4</v>
      </c>
      <c r="BB410" s="164" t="s">
        <v>206</v>
      </c>
      <c r="BC410" s="176" t="s">
        <v>86</v>
      </c>
      <c r="BD410" s="172" t="s">
        <v>83</v>
      </c>
      <c r="BE410" s="172" t="s">
        <v>83</v>
      </c>
      <c r="BF410" s="169" t="s">
        <v>81</v>
      </c>
      <c r="BG410" s="170" t="s">
        <v>77</v>
      </c>
    </row>
    <row r="411" spans="2:70" ht="15.75" hidden="1" customHeight="1" thickTop="1" x14ac:dyDescent="0.35">
      <c r="B411" s="537"/>
      <c r="C411" s="559"/>
      <c r="D411" s="575"/>
      <c r="E411" s="578"/>
      <c r="F411" s="679"/>
      <c r="G411" s="687"/>
      <c r="H411" s="690"/>
      <c r="I411" s="590"/>
      <c r="J411" s="590"/>
      <c r="K411" s="593"/>
      <c r="L411" s="590"/>
      <c r="M411" s="596"/>
      <c r="N411" s="599"/>
      <c r="O411" s="602"/>
      <c r="P411" s="596"/>
      <c r="Q411" s="605"/>
      <c r="R411" s="602"/>
      <c r="S411" s="284"/>
      <c r="T411" s="605"/>
      <c r="U411" s="202" t="s">
        <v>224</v>
      </c>
      <c r="V411" s="420"/>
      <c r="W411" s="307"/>
      <c r="X411" s="308" t="str">
        <f>IF(W411=[13]Listas!$B$46,[13]Listas!$C$46,IF(W411=[13]Listas!$B$47,[13]Listas!$C$47,IF(W411=[13]Listas!$B$48,[13]Listas!$C$48,"")))</f>
        <v/>
      </c>
      <c r="Y411" s="309" t="str">
        <f>IF(OR(W411=[13]Listas!$F$53,W411=[13]Listas!$F$54),[13]Listas!$G$53,IF(W411=[13]Listas!$F$55,[13]Listas!$G$55,""))</f>
        <v/>
      </c>
      <c r="Z411" s="307"/>
      <c r="AA411" s="177" t="str">
        <f>+IF(Z411=[13]Listas!$E$46,[13]Listas!$F$46,IF(Z411=[13]Listas!$E$47,[13]Listas!$F$47,""))</f>
        <v/>
      </c>
      <c r="AB411" s="178" t="str">
        <f t="shared" si="62"/>
        <v/>
      </c>
      <c r="AC411" s="307"/>
      <c r="AD411" s="307"/>
      <c r="AE411" s="310"/>
      <c r="AF411" s="311" t="str">
        <f t="shared" si="60"/>
        <v>Muy baja</v>
      </c>
      <c r="AG411" s="179">
        <f>IF(Y411=[13]Listas!$G$53,AG410-(AG410*AB411),AG410)</f>
        <v>1.8662399999999996E-2</v>
      </c>
      <c r="AH411" s="563"/>
      <c r="AI411" s="311" t="str">
        <f t="shared" si="61"/>
        <v>Moderado</v>
      </c>
      <c r="AJ411" s="179">
        <f>IF(Y411=[13]Listas!$G$55,AJ410-(AJ410*AB411),AJ410)</f>
        <v>0.6</v>
      </c>
      <c r="AK411" s="563"/>
      <c r="AL411" s="566"/>
      <c r="AM411" s="566"/>
      <c r="AN411" s="566"/>
      <c r="AO411" s="569"/>
      <c r="AP411" s="632"/>
      <c r="AQ411" s="312"/>
      <c r="AR411" s="180"/>
      <c r="AZ411" s="644"/>
      <c r="BA411" s="168">
        <v>0.2</v>
      </c>
      <c r="BB411" s="164" t="s">
        <v>196</v>
      </c>
      <c r="BC411" s="176" t="s">
        <v>86</v>
      </c>
      <c r="BD411" s="176" t="s">
        <v>86</v>
      </c>
      <c r="BE411" s="172" t="s">
        <v>83</v>
      </c>
      <c r="BF411" s="169" t="s">
        <v>81</v>
      </c>
      <c r="BG411" s="170" t="s">
        <v>77</v>
      </c>
    </row>
    <row r="412" spans="2:70" ht="144.75" customHeight="1" thickTop="1" thickBot="1" x14ac:dyDescent="0.4">
      <c r="B412" s="537"/>
      <c r="C412" s="559"/>
      <c r="D412" s="573" t="s">
        <v>586</v>
      </c>
      <c r="E412" s="576" t="s">
        <v>5</v>
      </c>
      <c r="F412" s="645" t="s">
        <v>524</v>
      </c>
      <c r="G412" s="662" t="s">
        <v>587</v>
      </c>
      <c r="H412" s="665" t="s">
        <v>588</v>
      </c>
      <c r="I412" s="588" t="s">
        <v>28</v>
      </c>
      <c r="J412" s="588" t="s">
        <v>22</v>
      </c>
      <c r="K412" s="591" t="s">
        <v>527</v>
      </c>
      <c r="L412" s="588" t="s">
        <v>168</v>
      </c>
      <c r="M412" s="594" t="s">
        <v>207</v>
      </c>
      <c r="N412" s="597" t="str">
        <f>+IF(M412="","",IF(M412=$BO$15,$BN$15,IF(M412=$BO$16,$BN$16,IF(M412=$BO$17,$BN$17,IF(M412=$BO$18,$BN$18,IF(M412=$BO$19,$BN$19))))))</f>
        <v>Baja</v>
      </c>
      <c r="O412" s="600">
        <f>+IF(M412="","",IF(M412=$BO$15,$BR$15,IF(M412=$BO$16,$BR$16,IF(M412=$BO$17,$BR$17,IF(M412=$BO$18,$BR$18,IF(M412=$BO$19,$BR$19))))))</f>
        <v>0.4</v>
      </c>
      <c r="P412" s="594" t="s">
        <v>212</v>
      </c>
      <c r="Q412" s="603" t="str">
        <f>+IF(P412="","",IF(P412='[13]Mapa de Calor inherente'!$AF$6,'[13]Mapa de Calor inherente'!$AD$6,IF(P412='[13]Mapa de Calor inherente'!$AF$7,'[13]Mapa de Calor inherente'!$AD$7,IF(P412='[13]Mapa de Calor inherente'!$AF$8,'[13]Mapa de Calor inherente'!$AD$8,IF(P412='[13]Mapa de Calor inherente'!$AF$9,'[13]Mapa de Calor inherente'!$AD$9,IF(P412='[13]Mapa de Calor inherente'!$AF$10,'[13]Mapa de Calor inherente'!$AD$10,IF(P412='[13]Mapa de Calor inherente'!$AG$6,'[13]Mapa de Calor inherente'!$AD$6,IF(P412='[13]Mapa de Calor inherente'!$AG$7,'[13]Mapa de Calor inherente'!$AD$7,IF(P412='[13]Mapa de Calor inherente'!$AG$8,'[13]Mapa de Calor inherente'!$AD$8,IF(P412='[13]Mapa de Calor inherente'!$AG$9,'[13]Mapa de Calor inherente'!$AD$9,IF(P412='[13]Mapa de Calor inherente'!$AG$10,'[13]Mapa de Calor inherente'!$AD$10,IF(P412='[13]Mapa de Calor inherente'!$AD$8,'[13]Mapa de Calor inherente'!$AD$8,IF(P412='[13]Mapa de Calor inherente'!$AD$9,'[13]Mapa de Calor inherente'!$AD$9,IF(P412='[13]Mapa de Calor inherente'!$AD$10,'[13]Mapa de Calor inherente'!$AD$10))))))))))))))</f>
        <v>Moderado</v>
      </c>
      <c r="R412" s="600">
        <f>+IF(P412="","",IF(P412='[13]Mapa de Calor inherente'!$AF$6,'[13]Mapa de Calor inherente'!$AE$6,IF(P412='[13]Mapa de Calor inherente'!$AF$7,'[13]Mapa de Calor inherente'!$AE$7,IF(P412='[13]Mapa de Calor inherente'!$AF$8,'[13]Mapa de Calor inherente'!$AE$8,IF(P412='[13]Mapa de Calor inherente'!$AF$9,'[13]Mapa de Calor inherente'!$AE$9,IF(P412='[13]Mapa de Calor inherente'!$AF$10,'[13]Mapa de Calor inherente'!$AE$10,IF(P412='[13]Mapa de Calor inherente'!$AG$6,'[13]Mapa de Calor inherente'!$AE$6,IF(P412='[13]Mapa de Calor inherente'!$AG$7,'[13]Mapa de Calor inherente'!$AE$7,IF(P412='[13]Mapa de Calor inherente'!$AG$8,'[13]Mapa de Calor inherente'!$AE$8,IF(P412='[13]Mapa de Calor inherente'!$AG$9,'[13]Mapa de Calor inherente'!$AE$9,IF(P412='[13]Mapa de Calor inherente'!$AG$10,'[13]Mapa de Calor inherente'!$AE$10,IF(P412='[13]Mapa de Calor inherente'!$AD$8,'[13]Mapa de Calor inherente'!$AE$8,IF(P412='[13]Mapa de Calor inherente'!$AD$9,'[13]Mapa de Calor inherente'!$AE$9,IF(P412='[13]Mapa de Calor inherente'!$AD$10,'[13]Mapa de Calor inherente'!$AE$10))))))))))))))</f>
        <v>0.6</v>
      </c>
      <c r="S412" s="292"/>
      <c r="T412" s="606" t="str">
        <f>+IF(N412=$BB$17,IF(Q412=$BC$16,$BC$17,IF(Q412=$BD$16,$BD$17,IF(Q412=$BE$16,$BE$17,IF(Q412=$BF$16,$BF$17,IF(Q412=$BG$16,$BG$17))))),IF(N412=$BB$18,IF(Q412=$BC$16,$BC$18,IF(Q412=$BD$16,$BD$18,IF(Q412=$BE$16,$BE$18,IF(Q412=$BF$16,$BF$18,IF(Q412=$BG$16,$BG$18))))),IF(N412=$BB$19,IF(Q412=$BC$16,$BC$19,IF(Q412=$BD$16,$BD$19,IF(Q412=$BE$16,$BE$19,IF(Q412=$BF$16,$BF$19,IF(Q412=$BG$16,$BG$19))))),IF(N412=$BB$20,IF(Q412=$BC$16,$BC$20,IF(Q412=$BD$16,$BD$20,IF(Q412=$BE$16,$BE$20,IF(Q412=$BF$16,$BF$20,IF(Q412=$BG$16,$BG$20))))),IF(N412=$BB$21,IF(Q412=$BC$16,$BC$21,IF(Q412=$BD$16,$BD$21,IF(Q412=$BE$16,$BE$21,IF(Q412=$BF$16,$BF$21,IF(Q412=$BG$16,$BG$21))))),"")))))</f>
        <v>Moderado</v>
      </c>
      <c r="U412" s="139" t="s">
        <v>171</v>
      </c>
      <c r="V412" s="470" t="s">
        <v>589</v>
      </c>
      <c r="W412" s="313" t="s">
        <v>40</v>
      </c>
      <c r="X412" s="314">
        <f>IF(W412=[13]Listas!$B$46,[13]Listas!$C$46,IF(W412=[13]Listas!$B$47,[13]Listas!$C$47,IF(W412=[13]Listas!$B$48,[13]Listas!$C$48,"")))</f>
        <v>0.25</v>
      </c>
      <c r="Y412" s="315" t="str">
        <f>IF(OR(W412=[13]Listas!$F$53,W412=[13]Listas!$F$54),[13]Listas!$G$53,IF(W412=[13]Listas!$F$55,[13]Listas!$G$55,""))</f>
        <v>Probabilidad</v>
      </c>
      <c r="Z412" s="313" t="s">
        <v>43</v>
      </c>
      <c r="AA412" s="314">
        <f>+IF(Z412=[13]Listas!$E$46,[13]Listas!$F$46,IF(Z412=[13]Listas!$E$47,[13]Listas!$F$47,""))</f>
        <v>0.15</v>
      </c>
      <c r="AB412" s="181">
        <f>IFERROR(X412+AA412,"")</f>
        <v>0.4</v>
      </c>
      <c r="AC412" s="313" t="s">
        <v>57</v>
      </c>
      <c r="AD412" s="316" t="s">
        <v>58</v>
      </c>
      <c r="AE412" s="317" t="s">
        <v>59</v>
      </c>
      <c r="AF412" s="299" t="str">
        <f t="shared" si="60"/>
        <v>Baja</v>
      </c>
      <c r="AG412" s="141">
        <f>IF(Y412=[13]Listas!$G$53,O412-(O412*AB412),O412)</f>
        <v>0.24</v>
      </c>
      <c r="AH412" s="561">
        <f>+IF(AG421="","",AG421)</f>
        <v>0.14399999999999999</v>
      </c>
      <c r="AI412" s="299" t="str">
        <f>IF(AJ412="","",IF(AJ412&lt;=20%,"Leve",IF(AJ412&lt;=40%,"Menor",IF(AJ412&lt;=60%,"Moderado",IF(AJ412&lt;=80%,"Mayor","Catastrófico")))))</f>
        <v>Moderado</v>
      </c>
      <c r="AJ412" s="141">
        <f>IF(Y412=[13]Listas!$G$55,R412-(R412*AB412),R412)</f>
        <v>0.6</v>
      </c>
      <c r="AK412" s="561">
        <f>+IF(AJ421="","",AJ421)</f>
        <v>0.6</v>
      </c>
      <c r="AL412" s="564" t="str">
        <f>+IF(AH412=0,"",IF(AH412&lt;=$BA$21,$BB$21,IF(AH412&lt;=$BA$20,$BB$20,IF(AH412&lt;=$BA$19,$BB$19,IF(AH412&lt;=$BA$18,$BB$18,IF(AH412&lt;=$BA$17,$BB$17,""))))))</f>
        <v>Muy Baja</v>
      </c>
      <c r="AM412" s="564" t="str">
        <f>+IF(AK412=0,"",IF(AK412&lt;=$BC$15,$BC$16,IF(AK412&lt;=$BD$15,$BD$16,IF(AK412&lt;=$BE$15,$BE$16,IF(AK412&lt;=$BF$15,$BF$16,IF(AK412&lt;=$BG$15,$BG$16,""))))))</f>
        <v>Moderado</v>
      </c>
      <c r="AN412" s="564" t="str">
        <f>IF(AL412=$BB$17,IF(AM412=$BC$16,$BC$17,IF(AM412=$BD$16,$BD$17,IF(AM412=$BE$16,$BE$17,IF(AM412=$BF$16,$BF$17,IF(AM412=$BG$16,$BG$17))))),IF(AL412=$BB$18,IF(AM412=$BC$16,$BC$18,IF(AM412=$BD$16,$BD$18,IF(AM412=$BE$16,$BE$18,IF(AM412=$BF$16,$BF$18,IF(AM412=$BG$16,$BG$18))))),IF(AL412=$BB$19,IF(AM412=$BC$16,$BC$19,IF(AM412=$BD$16,$BD$19,IF(AM412=$BE$16,$BE$19,IF(AM412=$BF$16,$BF$19,IF(AM412=$BG$16,$BG$19))))),IF(AL412=$BB$20,IF(AM412=$BC$16,$BC$20,IF(AM412=$BD$16,$BD$20,IF(AM412=$BE$16,$BE$20,IF(AM412=$BF$16,$BF$20,IF(AM412=$BG$16,$BG$20))))),IF(AL412=$BB$21,IF(AM412=$BC$16,$BC$21,IF(AM412=$BD$16,$BD$21,IF(AM412=$BE$16,$BE$21,IF(AM412=$BF$16,$BF$21,IF(AM412=$BG$16,$BG$21))))),"")))))</f>
        <v>Moderado</v>
      </c>
      <c r="AO412" s="567" t="str">
        <f>IF(AP412="","",IF(AP412=[13]Listas!$F$61,[13]Listas!$G$61,IF(AP412=[13]Listas!$F$63,[13]Listas!$G$63,IF(AP412=[13]Listas!$F$64,[13]Listas!$G$64))))</f>
        <v>Requiere Plan de Acción</v>
      </c>
      <c r="AP412" s="570" t="str">
        <f>IF(AN412="","",IF(OR(AN412=[13]Listas!$E$61,AN412=[13]Listas!$E$62),[13]Listas!$F$61,IF(AN412=[13]Listas!$E$63,[13]Listas!$F$63,IF(AN412=[13]Listas!$E$64,[13]Listas!$F$64))))</f>
        <v>Aceptar o reducir el riesgo</v>
      </c>
      <c r="AQ412" s="318" t="s">
        <v>80</v>
      </c>
      <c r="AR412" s="116" t="s">
        <v>529</v>
      </c>
    </row>
    <row r="413" spans="2:70" ht="138" customHeight="1" thickTop="1" thickBot="1" x14ac:dyDescent="0.4">
      <c r="B413" s="537"/>
      <c r="C413" s="559"/>
      <c r="D413" s="574"/>
      <c r="E413" s="577"/>
      <c r="F413" s="646"/>
      <c r="G413" s="663"/>
      <c r="H413" s="666"/>
      <c r="I413" s="589"/>
      <c r="J413" s="589"/>
      <c r="K413" s="592"/>
      <c r="L413" s="589"/>
      <c r="M413" s="595"/>
      <c r="N413" s="598"/>
      <c r="O413" s="601"/>
      <c r="P413" s="595"/>
      <c r="Q413" s="604"/>
      <c r="R413" s="601"/>
      <c r="S413" s="286"/>
      <c r="T413" s="607"/>
      <c r="U413" s="142" t="s">
        <v>174</v>
      </c>
      <c r="V413" s="471" t="s">
        <v>590</v>
      </c>
      <c r="W413" s="319" t="s">
        <v>40</v>
      </c>
      <c r="X413" s="320">
        <f>IF(W413=[13]Listas!$B$46,[13]Listas!$C$46,IF(W413=[13]Listas!$B$47,[13]Listas!$C$47,IF(W413=[13]Listas!$B$48,[13]Listas!$C$48,"")))</f>
        <v>0.25</v>
      </c>
      <c r="Y413" s="321" t="str">
        <f>IF(OR(W413=[13]Listas!$F$53,W413=[13]Listas!$F$54),[13]Listas!$G$53,IF(W413=[13]Listas!$F$55,[13]Listas!$G$55,""))</f>
        <v>Probabilidad</v>
      </c>
      <c r="Z413" s="319" t="s">
        <v>43</v>
      </c>
      <c r="AA413" s="182">
        <f>+IF(Z413=[13]Listas!$E$46,[13]Listas!$F$46,IF(Z413=[13]Listas!$E$47,[13]Listas!$F$47,""))</f>
        <v>0.15</v>
      </c>
      <c r="AB413" s="183">
        <f>IFERROR(X413+AA413,"")</f>
        <v>0.4</v>
      </c>
      <c r="AC413" s="319" t="s">
        <v>57</v>
      </c>
      <c r="AD413" s="322" t="s">
        <v>58</v>
      </c>
      <c r="AE413" s="323" t="s">
        <v>59</v>
      </c>
      <c r="AF413" s="305" t="str">
        <f t="shared" si="60"/>
        <v>Muy baja</v>
      </c>
      <c r="AG413" s="145">
        <f>IF(Y413=[13]Listas!$G$53,AG412-(AG412*AB413),AG412)</f>
        <v>0.14399999999999999</v>
      </c>
      <c r="AH413" s="562"/>
      <c r="AI413" s="305" t="str">
        <f t="shared" si="61"/>
        <v>Moderado</v>
      </c>
      <c r="AJ413" s="145">
        <f>IF(Y413=[13]Listas!$G$55,AJ412-(AJ412*AB413),AJ412)</f>
        <v>0.6</v>
      </c>
      <c r="AK413" s="562"/>
      <c r="AL413" s="565"/>
      <c r="AM413" s="565"/>
      <c r="AN413" s="565"/>
      <c r="AO413" s="568"/>
      <c r="AP413" s="571"/>
      <c r="AQ413" s="324" t="s">
        <v>80</v>
      </c>
      <c r="AR413" s="117" t="s">
        <v>591</v>
      </c>
    </row>
    <row r="414" spans="2:70" ht="73" customHeight="1" thickTop="1" thickBot="1" x14ac:dyDescent="0.4">
      <c r="B414" s="537"/>
      <c r="C414" s="559"/>
      <c r="D414" s="574"/>
      <c r="E414" s="577"/>
      <c r="F414" s="646"/>
      <c r="G414" s="663"/>
      <c r="H414" s="666"/>
      <c r="I414" s="589"/>
      <c r="J414" s="589"/>
      <c r="K414" s="592"/>
      <c r="L414" s="589"/>
      <c r="M414" s="595"/>
      <c r="N414" s="598"/>
      <c r="O414" s="601"/>
      <c r="P414" s="595"/>
      <c r="Q414" s="604"/>
      <c r="R414" s="601"/>
      <c r="S414" s="287"/>
      <c r="T414" s="607"/>
      <c r="U414" s="142" t="s">
        <v>180</v>
      </c>
      <c r="V414" s="415"/>
      <c r="W414" s="319"/>
      <c r="X414" s="320" t="str">
        <f>IF(W414=[13]Listas!$B$46,[13]Listas!$C$46,IF(W414=[13]Listas!$B$47,[13]Listas!$C$47,IF(W414=[13]Listas!$B$48,[13]Listas!$C$48,"")))</f>
        <v/>
      </c>
      <c r="Y414" s="321" t="str">
        <f>IF(OR(W414=[13]Listas!$F$53,W414=[13]Listas!$F$54),[13]Listas!$G$53,IF(W414=[13]Listas!$F$55,[13]Listas!$G$55,""))</f>
        <v/>
      </c>
      <c r="Z414" s="319"/>
      <c r="AA414" s="182" t="str">
        <f>+IF(Z414=[13]Listas!$E$46,[13]Listas!$F$46,IF(Z414=[13]Listas!$E$47,[13]Listas!$F$47,""))</f>
        <v/>
      </c>
      <c r="AB414" s="183" t="str">
        <f>IFERROR(X414+AA414,"")</f>
        <v/>
      </c>
      <c r="AC414" s="325"/>
      <c r="AD414" s="326"/>
      <c r="AE414" s="327"/>
      <c r="AF414" s="305" t="str">
        <f t="shared" si="60"/>
        <v>Muy baja</v>
      </c>
      <c r="AG414" s="145">
        <f>IF(Y414=[13]Listas!$G$53,AG413-(AG413*AB414),AG413)</f>
        <v>0.14399999999999999</v>
      </c>
      <c r="AH414" s="562"/>
      <c r="AI414" s="305" t="str">
        <f t="shared" si="61"/>
        <v>Moderado</v>
      </c>
      <c r="AJ414" s="145">
        <f>IF(Y414=[13]Listas!$G$55,AJ413-(AJ413*AB414),AJ413)</f>
        <v>0.6</v>
      </c>
      <c r="AK414" s="562"/>
      <c r="AL414" s="565"/>
      <c r="AM414" s="565"/>
      <c r="AN414" s="565"/>
      <c r="AO414" s="568"/>
      <c r="AP414" s="571"/>
      <c r="AQ414" s="324" t="s">
        <v>90</v>
      </c>
      <c r="AR414" s="184" t="s">
        <v>532</v>
      </c>
    </row>
    <row r="415" spans="2:70" ht="15" hidden="1" customHeight="1" thickBot="1" x14ac:dyDescent="0.4">
      <c r="B415" s="537"/>
      <c r="C415" s="280"/>
      <c r="D415" s="574"/>
      <c r="E415" s="577"/>
      <c r="F415" s="646"/>
      <c r="G415" s="663"/>
      <c r="H415" s="666"/>
      <c r="I415" s="589"/>
      <c r="J415" s="589"/>
      <c r="K415" s="592"/>
      <c r="L415" s="589"/>
      <c r="M415" s="595"/>
      <c r="N415" s="598"/>
      <c r="O415" s="601"/>
      <c r="P415" s="595"/>
      <c r="Q415" s="604"/>
      <c r="R415" s="601"/>
      <c r="S415" s="287"/>
      <c r="T415" s="607"/>
      <c r="U415" s="142" t="s">
        <v>190</v>
      </c>
      <c r="V415" s="415"/>
      <c r="W415" s="319"/>
      <c r="X415" s="320" t="str">
        <f>IF(W415=[13]Listas!$B$46,[13]Listas!$C$46,IF(W415=[13]Listas!$B$47,[13]Listas!$C$47,IF(W415=[13]Listas!$B$48,[13]Listas!$C$48,"")))</f>
        <v/>
      </c>
      <c r="Y415" s="321" t="str">
        <f>IF(OR(W415=[13]Listas!$F$53,W415=[13]Listas!$F$54),[13]Listas!$G$53,IF(W415=[13]Listas!$F$55,[13]Listas!$G$55,""))</f>
        <v/>
      </c>
      <c r="Z415" s="319"/>
      <c r="AA415" s="182" t="str">
        <f>+IF(Z415=[13]Listas!$E$46,[13]Listas!$F$46,IF(Z415=[13]Listas!$E$47,[13]Listas!$F$47,""))</f>
        <v/>
      </c>
      <c r="AB415" s="183" t="str">
        <f t="shared" ref="AB415:AB421" si="63">IFERROR(X415+AA415,"")</f>
        <v/>
      </c>
      <c r="AC415" s="328"/>
      <c r="AD415" s="329"/>
      <c r="AE415" s="330"/>
      <c r="AF415" s="305" t="str">
        <f t="shared" si="60"/>
        <v>Muy baja</v>
      </c>
      <c r="AG415" s="145">
        <f>IF(Y415=[13]Listas!$G$53,AG414-(AG414*AB415),AG414)</f>
        <v>0.14399999999999999</v>
      </c>
      <c r="AH415" s="562"/>
      <c r="AI415" s="305" t="str">
        <f t="shared" si="61"/>
        <v>Moderado</v>
      </c>
      <c r="AJ415" s="145">
        <f>IF(Y415=[13]Listas!$G$55,AJ414-(AJ414*AB415),AJ414)</f>
        <v>0.6</v>
      </c>
      <c r="AK415" s="562"/>
      <c r="AL415" s="565"/>
      <c r="AM415" s="565"/>
      <c r="AN415" s="565"/>
      <c r="AO415" s="568"/>
      <c r="AP415" s="571"/>
      <c r="AQ415" s="324"/>
      <c r="AR415" s="185"/>
    </row>
    <row r="416" spans="2:70" ht="15" hidden="1" customHeight="1" thickBot="1" x14ac:dyDescent="0.4">
      <c r="B416" s="537"/>
      <c r="C416" s="280"/>
      <c r="D416" s="574"/>
      <c r="E416" s="577"/>
      <c r="F416" s="646"/>
      <c r="G416" s="663"/>
      <c r="H416" s="666"/>
      <c r="I416" s="589"/>
      <c r="J416" s="589"/>
      <c r="K416" s="592"/>
      <c r="L416" s="589"/>
      <c r="M416" s="595"/>
      <c r="N416" s="598"/>
      <c r="O416" s="601"/>
      <c r="P416" s="595"/>
      <c r="Q416" s="604"/>
      <c r="R416" s="601"/>
      <c r="S416" s="287"/>
      <c r="T416" s="607"/>
      <c r="U416" s="142" t="s">
        <v>198</v>
      </c>
      <c r="V416" s="415"/>
      <c r="W416" s="331"/>
      <c r="X416" s="320" t="str">
        <f>IF(W416=[13]Listas!$B$46,[13]Listas!$C$46,IF(W416=[13]Listas!$B$47,[13]Listas!$C$47,IF(W416=[13]Listas!$B$48,[13]Listas!$C$48,"")))</f>
        <v/>
      </c>
      <c r="Y416" s="321" t="str">
        <f>IF(OR(W416=[13]Listas!$F$53,W416=[13]Listas!$F$54),[13]Listas!$G$53,IF(W416=[13]Listas!$F$55,[13]Listas!$G$55,""))</f>
        <v/>
      </c>
      <c r="Z416" s="331"/>
      <c r="AA416" s="182" t="str">
        <f>+IF(Z416=[13]Listas!$E$46,[13]Listas!$F$46,IF(Z416=[13]Listas!$E$47,[13]Listas!$F$47,""))</f>
        <v/>
      </c>
      <c r="AB416" s="183" t="str">
        <f t="shared" si="63"/>
        <v/>
      </c>
      <c r="AC416" s="319"/>
      <c r="AD416" s="322"/>
      <c r="AE416" s="323"/>
      <c r="AF416" s="305" t="str">
        <f t="shared" si="60"/>
        <v>Muy baja</v>
      </c>
      <c r="AG416" s="145">
        <f>IF(Y416=[13]Listas!$G$53,AG415-(AG415*AB416),AG415)</f>
        <v>0.14399999999999999</v>
      </c>
      <c r="AH416" s="562"/>
      <c r="AI416" s="305" t="str">
        <f t="shared" si="61"/>
        <v>Moderado</v>
      </c>
      <c r="AJ416" s="145">
        <f>IF(Y416=[13]Listas!$G$55,AJ415-(AJ415*AB416),AJ415)</f>
        <v>0.6</v>
      </c>
      <c r="AK416" s="562"/>
      <c r="AL416" s="565"/>
      <c r="AM416" s="565"/>
      <c r="AN416" s="565"/>
      <c r="AO416" s="568"/>
      <c r="AP416" s="571"/>
      <c r="AQ416" s="324"/>
      <c r="AR416" s="185"/>
    </row>
    <row r="417" spans="2:70" ht="15.75" hidden="1" customHeight="1" thickTop="1" thickBot="1" x14ac:dyDescent="0.4">
      <c r="B417" s="537"/>
      <c r="C417" s="280"/>
      <c r="D417" s="574"/>
      <c r="E417" s="577"/>
      <c r="F417" s="646"/>
      <c r="G417" s="663"/>
      <c r="H417" s="666"/>
      <c r="I417" s="589"/>
      <c r="J417" s="589"/>
      <c r="K417" s="592"/>
      <c r="L417" s="589"/>
      <c r="M417" s="595"/>
      <c r="N417" s="598"/>
      <c r="O417" s="601"/>
      <c r="P417" s="595"/>
      <c r="Q417" s="604"/>
      <c r="R417" s="601"/>
      <c r="S417" s="288"/>
      <c r="T417" s="607"/>
      <c r="U417" s="142" t="s">
        <v>208</v>
      </c>
      <c r="V417" s="415"/>
      <c r="W417" s="331"/>
      <c r="X417" s="320" t="str">
        <f>IF(W417=[13]Listas!$B$46,[13]Listas!$C$46,IF(W417=[13]Listas!$B$47,[13]Listas!$C$47,IF(W417=[13]Listas!$B$48,[13]Listas!$C$48,"")))</f>
        <v/>
      </c>
      <c r="Y417" s="321" t="str">
        <f>IF(OR(W417=[13]Listas!$F$53,W417=[13]Listas!$F$54),[13]Listas!$G$53,IF(W417=[13]Listas!$F$55,[13]Listas!$G$55,""))</f>
        <v/>
      </c>
      <c r="Z417" s="331"/>
      <c r="AA417" s="182" t="str">
        <f>+IF(Z417=[13]Listas!$E$46,[13]Listas!$F$46,IF(Z417=[13]Listas!$E$47,[13]Listas!$F$47,""))</f>
        <v/>
      </c>
      <c r="AB417" s="183" t="str">
        <f t="shared" si="63"/>
        <v/>
      </c>
      <c r="AC417" s="319"/>
      <c r="AD417" s="322"/>
      <c r="AE417" s="323"/>
      <c r="AF417" s="305" t="str">
        <f t="shared" si="60"/>
        <v>Muy baja</v>
      </c>
      <c r="AG417" s="145">
        <f>IF(Y417=[13]Listas!$G$53,AG416-(AG416*AB417),AG416)</f>
        <v>0.14399999999999999</v>
      </c>
      <c r="AH417" s="562"/>
      <c r="AI417" s="305" t="str">
        <f t="shared" si="61"/>
        <v>Moderado</v>
      </c>
      <c r="AJ417" s="145">
        <f>IF(Y417=[13]Listas!$G$55,AJ416-(AJ416*AB417),AJ416)</f>
        <v>0.6</v>
      </c>
      <c r="AK417" s="562"/>
      <c r="AL417" s="565"/>
      <c r="AM417" s="565"/>
      <c r="AN417" s="565"/>
      <c r="AO417" s="568"/>
      <c r="AP417" s="571"/>
      <c r="AQ417" s="332"/>
      <c r="AR417" s="185"/>
    </row>
    <row r="418" spans="2:70" ht="15" hidden="1" customHeight="1" thickTop="1" thickBot="1" x14ac:dyDescent="0.4">
      <c r="B418" s="537"/>
      <c r="C418" s="280"/>
      <c r="D418" s="574"/>
      <c r="E418" s="577"/>
      <c r="F418" s="646"/>
      <c r="G418" s="663"/>
      <c r="H418" s="666"/>
      <c r="I418" s="589"/>
      <c r="J418" s="589"/>
      <c r="K418" s="592"/>
      <c r="L418" s="589"/>
      <c r="M418" s="595"/>
      <c r="N418" s="598"/>
      <c r="O418" s="601"/>
      <c r="P418" s="595"/>
      <c r="Q418" s="604"/>
      <c r="R418" s="601"/>
      <c r="S418" s="289"/>
      <c r="T418" s="607"/>
      <c r="U418" s="142" t="s">
        <v>215</v>
      </c>
      <c r="V418" s="415"/>
      <c r="W418" s="331"/>
      <c r="X418" s="320" t="str">
        <f>IF(W418=[13]Listas!$B$46,[13]Listas!$C$46,IF(W418=[13]Listas!$B$47,[13]Listas!$C$47,IF(W418=[13]Listas!$B$48,[13]Listas!$C$48,"")))</f>
        <v/>
      </c>
      <c r="Y418" s="321" t="str">
        <f>IF(OR(W418=[13]Listas!$F$53,W418=[13]Listas!$F$54),[13]Listas!$G$53,IF(W418=[13]Listas!$F$55,[13]Listas!$G$55,""))</f>
        <v/>
      </c>
      <c r="Z418" s="331"/>
      <c r="AA418" s="182" t="str">
        <f>+IF(Z418=[13]Listas!$E$46,[13]Listas!$F$46,IF(Z418=[13]Listas!$E$47,[13]Listas!$F$47,""))</f>
        <v/>
      </c>
      <c r="AB418" s="183" t="str">
        <f t="shared" si="63"/>
        <v/>
      </c>
      <c r="AC418" s="319"/>
      <c r="AD418" s="322"/>
      <c r="AE418" s="323"/>
      <c r="AF418" s="305" t="str">
        <f t="shared" si="60"/>
        <v>Muy baja</v>
      </c>
      <c r="AG418" s="145">
        <f>IF(Y418=[13]Listas!$G$53,AG417-(AG417*AB418),AG417)</f>
        <v>0.14399999999999999</v>
      </c>
      <c r="AH418" s="562"/>
      <c r="AI418" s="305" t="str">
        <f t="shared" si="61"/>
        <v>Moderado</v>
      </c>
      <c r="AJ418" s="145">
        <f>IF(Y418=[13]Listas!$G$55,AJ417-(AJ417*AB418),AJ417)</f>
        <v>0.6</v>
      </c>
      <c r="AK418" s="562"/>
      <c r="AL418" s="565"/>
      <c r="AM418" s="565"/>
      <c r="AN418" s="565"/>
      <c r="AO418" s="568"/>
      <c r="AP418" s="571"/>
      <c r="AQ418" s="333"/>
      <c r="AR418" s="185"/>
    </row>
    <row r="419" spans="2:70" ht="15" hidden="1" customHeight="1" thickTop="1" thickBot="1" x14ac:dyDescent="0.4">
      <c r="B419" s="537"/>
      <c r="C419" s="280"/>
      <c r="D419" s="574"/>
      <c r="E419" s="577"/>
      <c r="F419" s="646"/>
      <c r="G419" s="663"/>
      <c r="H419" s="666"/>
      <c r="I419" s="589"/>
      <c r="J419" s="589"/>
      <c r="K419" s="592"/>
      <c r="L419" s="589"/>
      <c r="M419" s="595"/>
      <c r="N419" s="598"/>
      <c r="O419" s="601"/>
      <c r="P419" s="595"/>
      <c r="Q419" s="604"/>
      <c r="R419" s="601"/>
      <c r="S419" s="289"/>
      <c r="T419" s="607"/>
      <c r="U419" s="142" t="s">
        <v>220</v>
      </c>
      <c r="V419" s="415"/>
      <c r="W419" s="331"/>
      <c r="X419" s="320" t="str">
        <f>IF(W419=[13]Listas!$B$46,[13]Listas!$C$46,IF(W419=[13]Listas!$B$47,[13]Listas!$C$47,IF(W419=[13]Listas!$B$48,[13]Listas!$C$48,"")))</f>
        <v/>
      </c>
      <c r="Y419" s="321" t="str">
        <f>IF(OR(W419=[13]Listas!$F$53,W419=[13]Listas!$F$54),[13]Listas!$G$53,IF(W419=[13]Listas!$F$55,[13]Listas!$G$55,""))</f>
        <v/>
      </c>
      <c r="Z419" s="331"/>
      <c r="AA419" s="182" t="str">
        <f>+IF(Z419=[13]Listas!$E$46,[13]Listas!$F$46,IF(Z419=[13]Listas!$E$47,[13]Listas!$F$47,""))</f>
        <v/>
      </c>
      <c r="AB419" s="183" t="str">
        <f t="shared" si="63"/>
        <v/>
      </c>
      <c r="AC419" s="319"/>
      <c r="AD419" s="322"/>
      <c r="AE419" s="323"/>
      <c r="AF419" s="305" t="str">
        <f t="shared" si="60"/>
        <v>Muy baja</v>
      </c>
      <c r="AG419" s="145">
        <f>IF(Y419=[13]Listas!$G$53,AG418-(AG418*AB419),AG418)</f>
        <v>0.14399999999999999</v>
      </c>
      <c r="AH419" s="562"/>
      <c r="AI419" s="305" t="str">
        <f t="shared" si="61"/>
        <v>Moderado</v>
      </c>
      <c r="AJ419" s="145">
        <f>IF(Y419=[13]Listas!$G$55,AJ418-(AJ418*AB419),AJ418)</f>
        <v>0.6</v>
      </c>
      <c r="AK419" s="562"/>
      <c r="AL419" s="565"/>
      <c r="AM419" s="565"/>
      <c r="AN419" s="565"/>
      <c r="AO419" s="568"/>
      <c r="AP419" s="571"/>
      <c r="AQ419" s="334"/>
      <c r="AR419" s="185"/>
    </row>
    <row r="420" spans="2:70" ht="15" hidden="1" customHeight="1" thickTop="1" thickBot="1" x14ac:dyDescent="0.4">
      <c r="B420" s="537"/>
      <c r="C420" s="280"/>
      <c r="D420" s="574"/>
      <c r="E420" s="577"/>
      <c r="F420" s="646"/>
      <c r="G420" s="663"/>
      <c r="H420" s="666"/>
      <c r="I420" s="589"/>
      <c r="J420" s="589"/>
      <c r="K420" s="592"/>
      <c r="L420" s="589"/>
      <c r="M420" s="595"/>
      <c r="N420" s="598"/>
      <c r="O420" s="601"/>
      <c r="P420" s="595"/>
      <c r="Q420" s="604"/>
      <c r="R420" s="601"/>
      <c r="S420" s="289"/>
      <c r="T420" s="607"/>
      <c r="U420" s="142" t="s">
        <v>223</v>
      </c>
      <c r="V420" s="415"/>
      <c r="W420" s="331"/>
      <c r="X420" s="320" t="str">
        <f>IF(W420=[13]Listas!$B$46,[13]Listas!$C$46,IF(W420=[13]Listas!$B$47,[13]Listas!$C$47,IF(W420=[13]Listas!$B$48,[13]Listas!$C$48,"")))</f>
        <v/>
      </c>
      <c r="Y420" s="321" t="str">
        <f>IF(OR(W420=[13]Listas!$F$53,W420=[13]Listas!$F$54),[13]Listas!$G$53,IF(W420=[13]Listas!$F$55,[13]Listas!$G$55,""))</f>
        <v/>
      </c>
      <c r="Z420" s="331"/>
      <c r="AA420" s="182" t="str">
        <f>+IF(Z420=[13]Listas!$E$46,[13]Listas!$F$46,IF(Z420=[13]Listas!$E$47,[13]Listas!$F$47,""))</f>
        <v/>
      </c>
      <c r="AB420" s="183" t="str">
        <f t="shared" si="63"/>
        <v/>
      </c>
      <c r="AC420" s="319"/>
      <c r="AD420" s="322"/>
      <c r="AE420" s="323"/>
      <c r="AF420" s="305" t="str">
        <f t="shared" si="60"/>
        <v>Muy baja</v>
      </c>
      <c r="AG420" s="145">
        <f>IF(Y420=[13]Listas!$G$53,AG419-(AG419*AB420),AG419)</f>
        <v>0.14399999999999999</v>
      </c>
      <c r="AH420" s="562"/>
      <c r="AI420" s="305" t="str">
        <f t="shared" si="61"/>
        <v>Moderado</v>
      </c>
      <c r="AJ420" s="145">
        <f>IF(Y420=[13]Listas!$G$55,AJ419-(AJ419*AB420),AJ419)</f>
        <v>0.6</v>
      </c>
      <c r="AK420" s="562"/>
      <c r="AL420" s="565"/>
      <c r="AM420" s="565"/>
      <c r="AN420" s="565"/>
      <c r="AO420" s="568"/>
      <c r="AP420" s="571"/>
      <c r="AQ420" s="324"/>
      <c r="AR420" s="185"/>
    </row>
    <row r="421" spans="2:70" ht="15.75" hidden="1" customHeight="1" thickTop="1" thickBot="1" x14ac:dyDescent="0.4">
      <c r="B421" s="537"/>
      <c r="C421" s="280"/>
      <c r="D421" s="575"/>
      <c r="E421" s="578"/>
      <c r="F421" s="647"/>
      <c r="G421" s="664"/>
      <c r="H421" s="667"/>
      <c r="I421" s="590"/>
      <c r="J421" s="590"/>
      <c r="K421" s="593"/>
      <c r="L421" s="590"/>
      <c r="M421" s="596"/>
      <c r="N421" s="599"/>
      <c r="O421" s="602"/>
      <c r="P421" s="596"/>
      <c r="Q421" s="605"/>
      <c r="R421" s="602"/>
      <c r="S421" s="293"/>
      <c r="T421" s="608"/>
      <c r="U421" s="202" t="s">
        <v>224</v>
      </c>
      <c r="V421" s="416"/>
      <c r="W421" s="335"/>
      <c r="X421" s="336" t="str">
        <f>IF(W421=[13]Listas!$B$46,[13]Listas!$C$46,IF(W421=[13]Listas!$B$47,[13]Listas!$C$47,IF(W421=[13]Listas!$B$48,[13]Listas!$C$48,"")))</f>
        <v/>
      </c>
      <c r="Y421" s="337" t="str">
        <f>IF(OR(W421=[13]Listas!$F$53,W421=[13]Listas!$F$54),[13]Listas!$G$53,IF(W421=[13]Listas!$F$55,[13]Listas!$G$55,""))</f>
        <v/>
      </c>
      <c r="Z421" s="335"/>
      <c r="AA421" s="186" t="str">
        <f>+IF(Z421=[13]Listas!$E$46,[13]Listas!$F$46,IF(Z421=[13]Listas!$E$47,[13]Listas!$F$47,""))</f>
        <v/>
      </c>
      <c r="AB421" s="187" t="str">
        <f t="shared" si="63"/>
        <v/>
      </c>
      <c r="AC421" s="338"/>
      <c r="AD421" s="339"/>
      <c r="AE421" s="340"/>
      <c r="AF421" s="311" t="str">
        <f t="shared" si="60"/>
        <v>Muy baja</v>
      </c>
      <c r="AG421" s="179">
        <f>IF(Y421=[13]Listas!$G$53,AG420-(AG420*AB421),AG420)</f>
        <v>0.14399999999999999</v>
      </c>
      <c r="AH421" s="563"/>
      <c r="AI421" s="311" t="str">
        <f t="shared" si="61"/>
        <v>Moderado</v>
      </c>
      <c r="AJ421" s="179">
        <f>IF(Y421=[13]Listas!$G$55,AJ420-(AJ420*AB421),AJ420)</f>
        <v>0.6</v>
      </c>
      <c r="AK421" s="563"/>
      <c r="AL421" s="566"/>
      <c r="AM421" s="566"/>
      <c r="AN421" s="566"/>
      <c r="AO421" s="569"/>
      <c r="AP421" s="572"/>
      <c r="AQ421" s="341"/>
      <c r="AR421" s="188"/>
    </row>
    <row r="422" spans="2:70" ht="70.5" customHeight="1" thickTop="1" thickBot="1" x14ac:dyDescent="0.4">
      <c r="B422" s="537"/>
      <c r="C422" s="560" t="s">
        <v>102</v>
      </c>
      <c r="D422" s="573" t="s">
        <v>592</v>
      </c>
      <c r="E422" s="576" t="s">
        <v>4</v>
      </c>
      <c r="F422" s="714" t="s">
        <v>593</v>
      </c>
      <c r="G422" s="717" t="s">
        <v>546</v>
      </c>
      <c r="H422" s="720" t="s">
        <v>594</v>
      </c>
      <c r="I422" s="588" t="s">
        <v>20</v>
      </c>
      <c r="J422" s="588" t="s">
        <v>22</v>
      </c>
      <c r="K422" s="591" t="s">
        <v>595</v>
      </c>
      <c r="L422" s="588" t="s">
        <v>186</v>
      </c>
      <c r="M422" s="594" t="s">
        <v>214</v>
      </c>
      <c r="N422" s="597" t="str">
        <f>+IF(M422="","",IF(M422=$BO$15,$BN$15,IF(M422=$BO$16,$BN$16,IF(M422=$BO$17,$BN$17,IF(M422=$BO$18,$BN$18,IF(M422=$BO$19,$BN$19))))))</f>
        <v>Media</v>
      </c>
      <c r="O422" s="600">
        <f>+IF(M422="","",IF(M422=$BO$15,$BR$15,IF(M422=$BO$16,$BR$16,IF(M422=$BO$17,$BR$17,IF(M422=$BO$18,$BR$18,IF(M422=$BO$19,$BR$19))))))</f>
        <v>0.6</v>
      </c>
      <c r="P422" s="594" t="s">
        <v>195</v>
      </c>
      <c r="Q422" s="603" t="str">
        <f>+IF(P422="","",IF(P422='[14]Mapa de Calor inherente'!$AF$6,'[14]Mapa de Calor inherente'!$AD$6,IF(P422='[14]Mapa de Calor inherente'!$AF$7,'[14]Mapa de Calor inherente'!$AD$7,IF(P422='[14]Mapa de Calor inherente'!$AF$8,'[14]Mapa de Calor inherente'!$AD$8,IF(P422='[14]Mapa de Calor inherente'!$AF$9,'[14]Mapa de Calor inherente'!$AD$9,IF(P422='[14]Mapa de Calor inherente'!$AF$10,'[14]Mapa de Calor inherente'!$AD$10,IF(P422='[14]Mapa de Calor inherente'!$AG$6,'[14]Mapa de Calor inherente'!$AD$6,IF(P422='[14]Mapa de Calor inherente'!$AG$7,'[14]Mapa de Calor inherente'!$AD$7,IF(P422='[14]Mapa de Calor inherente'!$AG$8,'[14]Mapa de Calor inherente'!$AD$8,IF(P422='[14]Mapa de Calor inherente'!$AG$9,'[14]Mapa de Calor inherente'!$AD$9,IF(P422='[14]Mapa de Calor inherente'!$AG$10,'[14]Mapa de Calor inherente'!$AD$10,IF(P422='[14]Mapa de Calor inherente'!$AD$8,'[14]Mapa de Calor inherente'!$AD$8,IF(P422='[14]Mapa de Calor inherente'!$AD$9,'[14]Mapa de Calor inherente'!$AD$9,IF(P422='[14]Mapa de Calor inherente'!$AD$10,'[14]Mapa de Calor inherente'!$AD$10))))))))))))))</f>
        <v>Leve</v>
      </c>
      <c r="R422" s="600">
        <f>+IF(P422="","",IF(P422='[14]Mapa de Calor inherente'!$AF$6,'[14]Mapa de Calor inherente'!$AE$6,IF(P422='[14]Mapa de Calor inherente'!$AF$7,'[14]Mapa de Calor inherente'!$AE$7,IF(P422='[14]Mapa de Calor inherente'!$AF$8,'[14]Mapa de Calor inherente'!$AE$8,IF(P422='[14]Mapa de Calor inherente'!$AF$9,'[14]Mapa de Calor inherente'!$AE$9,IF(P422='[14]Mapa de Calor inherente'!$AF$10,'[14]Mapa de Calor inherente'!$AE$10,IF(P422='[14]Mapa de Calor inherente'!$AG$6,'[14]Mapa de Calor inherente'!$AE$6,IF(P422='[14]Mapa de Calor inherente'!$AG$7,'[14]Mapa de Calor inherente'!$AE$7,IF(P422='[14]Mapa de Calor inherente'!$AG$8,'[14]Mapa de Calor inherente'!$AE$8,IF(P422='[14]Mapa de Calor inherente'!$AG$9,'[14]Mapa de Calor inherente'!$AE$9,IF(P422='[14]Mapa de Calor inherente'!$AG$10,'[14]Mapa de Calor inherente'!$AE$10,IF(P422='[14]Mapa de Calor inherente'!$AD$8,'[14]Mapa de Calor inherente'!$AE$8,IF(P422='[14]Mapa de Calor inherente'!$AD$9,'[14]Mapa de Calor inherente'!$AE$9,IF(P422='[14]Mapa de Calor inherente'!$AD$10,'[14]Mapa de Calor inherente'!$AE$10))))))))))))))</f>
        <v>0.2</v>
      </c>
      <c r="S422" s="282">
        <f>IF(O422="","",IF(R422="","",(O422*R422)))</f>
        <v>0.12</v>
      </c>
      <c r="T422" s="603" t="str">
        <f>+IF(N422=$BB$17,IF(Q422=$BC$16,$BC$17,IF(Q422=$BD$16,$BD$17,IF(Q422=$BE$16,$BE$17,IF(Q422=$BF$16,$BF$17,IF(Q422=$BG$16,$BG$17))))),IF(N422=$BB$18,IF(Q422=$BC$16,$BC$18,IF(Q422=$BD$16,$BD$18,IF(Q422=$BE$16,$BE$18,IF(Q422=$BF$16,$BF$18,IF(Q422=$BG$16,$BG$18))))),IF(N422=$BB$19,IF(Q422=$BC$16,$BC$19,IF(Q422=$BD$16,$BD$19,IF(Q422=$BE$16,$BE$19,IF(Q422=$BF$16,$BF$19,IF(Q422=$BG$16,$BG$19))))),IF(N422=$BB$20,IF(Q422=$BC$16,$BC$20,IF(Q422=$BD$16,$BD$20,IF(Q422=$BE$16,$BE$20,IF(Q422=$BF$16,$BF$20,IF(Q422=$BG$16,$BG$20))))),IF(N422=$BB$21,IF(Q422=$BC$16,$BC$21,IF(Q422=$BD$16,$BD$21,IF(Q422=$BE$16,$BE$21,IF(Q422=$BF$16,$BF$21,IF(Q422=$BG$16,$BG$21))))),"")))))</f>
        <v>Moderado</v>
      </c>
      <c r="U422" s="139" t="s">
        <v>171</v>
      </c>
      <c r="V422" s="455" t="s">
        <v>596</v>
      </c>
      <c r="W422" s="295" t="s">
        <v>40</v>
      </c>
      <c r="X422" s="296">
        <f>IF(W422=[14]Listas!$B$46,[14]Listas!$C$46,IF(W422=[14]Listas!$B$47,[14]Listas!$C$47,IF(W422=[14]Listas!$B$48,[14]Listas!$C$48,"")))</f>
        <v>0.25</v>
      </c>
      <c r="Y422" s="297" t="str">
        <f>IF(OR(W422=[14]Listas!$F$53,W422=[14]Listas!$F$54),[14]Listas!$G$53,IF(W422=[14]Listas!$F$55,[14]Listas!$G$55,""))</f>
        <v>Probabilidad</v>
      </c>
      <c r="Z422" s="295" t="s">
        <v>43</v>
      </c>
      <c r="AA422" s="296">
        <f>+IF(Z422=[14]Listas!$E$46,[14]Listas!$F$46,IF(Z422=[14]Listas!$E$47,[14]Listas!$F$47,""))</f>
        <v>0.15</v>
      </c>
      <c r="AB422" s="140">
        <f>IFERROR(X422+AA422,"")</f>
        <v>0.4</v>
      </c>
      <c r="AC422" s="291" t="s">
        <v>57</v>
      </c>
      <c r="AD422" s="295" t="s">
        <v>58</v>
      </c>
      <c r="AE422" s="298" t="s">
        <v>59</v>
      </c>
      <c r="AF422" s="299" t="str">
        <f t="shared" si="60"/>
        <v>Baja</v>
      </c>
      <c r="AG422" s="141">
        <f>IF(Y422=[14]Listas!$G$53,O422-(O422*AB422),O422)</f>
        <v>0.36</v>
      </c>
      <c r="AH422" s="561">
        <f>+IF(AG431="","",AG431)</f>
        <v>0.12959999999999999</v>
      </c>
      <c r="AI422" s="299" t="str">
        <f>IF(AJ422="","",IF(AJ422&lt;=20%,"Leve",IF(AJ422&lt;=40%,"Menor",IF(AJ422&lt;=60%,"Moderado",IF(AJ422&lt;=80%,"Mayor","Catastrófico")))))</f>
        <v>Leve</v>
      </c>
      <c r="AJ422" s="141">
        <f>IF(Y422=[14]Listas!$G$55,R422-(R422*AB422),R422)</f>
        <v>0.2</v>
      </c>
      <c r="AK422" s="561">
        <f>+IF(AJ431="","",AJ431)</f>
        <v>0.2</v>
      </c>
      <c r="AL422" s="564" t="str">
        <f>+IF(AH422=0,"",IF(AH422&lt;=$BA$21,$BB$21,IF(AH422&lt;=$BA$20,$BB$20,IF(AH422&lt;=$BA$19,$BB$19,IF(AH422&lt;=$BA$18,$BB$18,IF(AH422&lt;=$BA$17,$BB$17,""))))))</f>
        <v>Muy Baja</v>
      </c>
      <c r="AM422" s="564" t="str">
        <f>+IF(AK422=0,"",IF(AK422&lt;=$BC$15,$BC$16,IF(AK422&lt;=$BD$15,$BD$16,IF(AK422&lt;=$BE$15,$BE$16,IF(AK422&lt;=$BF$15,$BF$16,IF(AK422&lt;=$BG$15,$BG$16,""))))))</f>
        <v>Leve</v>
      </c>
      <c r="AN422" s="564" t="str">
        <f>IF(AL422=$BB$17,IF(AM422=$BC$16,$BC$17,IF(AM422=$BD$16,$BD$17,IF(AM422=$BE$16,$BE$17,IF(AM422=$BF$16,$BF$17,IF(AM422=$BG$16,$BG$17))))),IF(AL422=$BB$18,IF(AM422=$BC$16,$BC$18,IF(AM422=$BD$16,$BD$18,IF(AM422=$BE$16,$BE$18,IF(AM422=$BF$16,$BF$18,IF(AM422=$BG$16,$BG$18))))),IF(AL422=$BB$19,IF(AM422=$BC$16,$BC$19,IF(AM422=$BD$16,$BD$19,IF(AM422=$BE$16,$BE$19,IF(AM422=$BF$16,$BF$19,IF(AM422=$BG$16,$BG$19))))),IF(AL422=$BB$20,IF(AM422=$BC$16,$BC$20,IF(AM422=$BD$16,$BD$20,IF(AM422=$BE$16,$BE$20,IF(AM422=$BF$16,$BF$20,IF(AM422=$BG$16,$BG$20))))),IF(AL422=$BB$21,IF(AM422=$BC$16,$BC$21,IF(AM422=$BD$16,$BD$21,IF(AM422=$BE$16,$BE$21,IF(AM422=$BF$16,$BF$21,IF(AM422=$BG$16,$BG$21))))),"")))))</f>
        <v>Bajo</v>
      </c>
      <c r="AO422" s="567" t="str">
        <f>IF(AP422="","",IF(AP422=[14]Listas!$F$61,[14]Listas!$G$61,IF(AP422=[14]Listas!$F$63,[14]Listas!$G$63,IF(AP422=[14]Listas!$F$64,[14]Listas!$G$64))))</f>
        <v>No requiere Plan de Acción</v>
      </c>
      <c r="AP422" s="630" t="str">
        <f>IF(AN422="","",IF(OR(AN422=[14]Listas!$E$61,AN422=[14]Listas!$E$62),[14]Listas!$F$61,IF(AN422=[14]Listas!$E$63,[14]Listas!$F$63,IF(AN422=[14]Listas!$E$64,[14]Listas!$F$64))))</f>
        <v>Aceptar  el riesgo</v>
      </c>
      <c r="AQ422" s="300" t="s">
        <v>80</v>
      </c>
      <c r="AR422" s="119" t="s">
        <v>597</v>
      </c>
    </row>
    <row r="423" spans="2:70" ht="57" thickTop="1" thickBot="1" x14ac:dyDescent="0.35">
      <c r="B423" s="537"/>
      <c r="C423" s="560"/>
      <c r="D423" s="574"/>
      <c r="E423" s="577"/>
      <c r="F423" s="715"/>
      <c r="G423" s="718"/>
      <c r="H423" s="721"/>
      <c r="I423" s="589"/>
      <c r="J423" s="589"/>
      <c r="K423" s="592"/>
      <c r="L423" s="589"/>
      <c r="M423" s="595"/>
      <c r="N423" s="598"/>
      <c r="O423" s="601"/>
      <c r="P423" s="595"/>
      <c r="Q423" s="604"/>
      <c r="R423" s="601"/>
      <c r="S423" s="283"/>
      <c r="T423" s="604"/>
      <c r="U423" s="142" t="s">
        <v>174</v>
      </c>
      <c r="V423" s="418" t="s">
        <v>598</v>
      </c>
      <c r="W423" s="301" t="s">
        <v>40</v>
      </c>
      <c r="X423" s="302">
        <f>IF(W423=[14]Listas!$B$46,[14]Listas!$C$46,IF(W423=[14]Listas!$B$47,[14]Listas!$C$47,IF(W423=[14]Listas!$B$48,[14]Listas!$C$48,"")))</f>
        <v>0.25</v>
      </c>
      <c r="Y423" s="303" t="str">
        <f>IF(OR(W423=[14]Listas!$F$53,W423=[14]Listas!$F$54),[14]Listas!$G$53,IF(W423=[14]Listas!$F$55,[14]Listas!$G$55,""))</f>
        <v>Probabilidad</v>
      </c>
      <c r="Z423" s="301" t="s">
        <v>43</v>
      </c>
      <c r="AA423" s="143">
        <f>+IF(Z423=[14]Listas!$E$46,[14]Listas!$F$46,IF(Z423=[14]Listas!$E$47,[14]Listas!$F$47,""))</f>
        <v>0.15</v>
      </c>
      <c r="AB423" s="144">
        <f>IFERROR(X423+AA423,"")</f>
        <v>0.4</v>
      </c>
      <c r="AC423" s="301" t="s">
        <v>57</v>
      </c>
      <c r="AD423" s="301" t="s">
        <v>58</v>
      </c>
      <c r="AE423" s="304" t="s">
        <v>59</v>
      </c>
      <c r="AF423" s="305" t="str">
        <f t="shared" si="60"/>
        <v>Baja</v>
      </c>
      <c r="AG423" s="145">
        <f>IF(Y423=[14]Listas!$G$53,AG422-(AG422*AB423),AG422)</f>
        <v>0.216</v>
      </c>
      <c r="AH423" s="562"/>
      <c r="AI423" s="305" t="str">
        <f t="shared" ref="AI423:AI441" si="64">IF(AJ423="","",IF(AJ423&lt;=20%,"Leve",IF(AJ423&lt;=40%,"Menor",IF(AJ423&lt;=60%,"Moderado",IF(AJ423&lt;=80%,"Mayor","Catastrófico")))))</f>
        <v>Leve</v>
      </c>
      <c r="AJ423" s="145">
        <f>IF(Y423=[14]Listas!$G$55,AJ422-(AJ422*AB423),AJ422)</f>
        <v>0.2</v>
      </c>
      <c r="AK423" s="562"/>
      <c r="AL423" s="565"/>
      <c r="AM423" s="565"/>
      <c r="AN423" s="565"/>
      <c r="AO423" s="568"/>
      <c r="AP423" s="631"/>
      <c r="AQ423" s="306" t="s">
        <v>80</v>
      </c>
      <c r="AR423" s="191" t="s">
        <v>599</v>
      </c>
      <c r="AZ423" s="633" t="s">
        <v>177</v>
      </c>
      <c r="BA423" s="634"/>
      <c r="BB423" s="634"/>
      <c r="BC423" s="634"/>
      <c r="BD423" s="634"/>
      <c r="BE423" s="634"/>
      <c r="BF423" s="634"/>
      <c r="BG423" s="635"/>
      <c r="BI423" s="636" t="s">
        <v>178</v>
      </c>
      <c r="BJ423" s="637"/>
      <c r="BK423" s="637"/>
      <c r="BL423" s="638"/>
      <c r="BN423" s="639" t="s">
        <v>179</v>
      </c>
      <c r="BO423" s="640"/>
      <c r="BP423" s="641"/>
      <c r="BQ423" s="641"/>
      <c r="BR423" s="642"/>
    </row>
    <row r="424" spans="2:70" ht="135" customHeight="1" thickTop="1" thickBot="1" x14ac:dyDescent="0.35">
      <c r="B424" s="537"/>
      <c r="C424" s="560"/>
      <c r="D424" s="574"/>
      <c r="E424" s="577"/>
      <c r="F424" s="715"/>
      <c r="G424" s="718"/>
      <c r="H424" s="721"/>
      <c r="I424" s="589"/>
      <c r="J424" s="589"/>
      <c r="K424" s="592"/>
      <c r="L424" s="589"/>
      <c r="M424" s="595"/>
      <c r="N424" s="598"/>
      <c r="O424" s="601"/>
      <c r="P424" s="595"/>
      <c r="Q424" s="604"/>
      <c r="R424" s="601"/>
      <c r="S424" s="283"/>
      <c r="T424" s="604"/>
      <c r="U424" s="142" t="s">
        <v>180</v>
      </c>
      <c r="V424" s="418" t="s">
        <v>600</v>
      </c>
      <c r="W424" s="301" t="s">
        <v>40</v>
      </c>
      <c r="X424" s="302">
        <f>IF(W424=[14]Listas!$B$46,[14]Listas!$C$46,IF(W424=[14]Listas!$B$47,[14]Listas!$C$47,IF(W424=[14]Listas!$B$48,[14]Listas!$C$48,"")))</f>
        <v>0.25</v>
      </c>
      <c r="Y424" s="303" t="str">
        <f>IF(OR(W424=[14]Listas!$F$53,W424=[14]Listas!$F$54),[14]Listas!$G$53,IF(W424=[14]Listas!$F$55,[14]Listas!$G$55,""))</f>
        <v>Probabilidad</v>
      </c>
      <c r="Z424" s="301" t="s">
        <v>43</v>
      </c>
      <c r="AA424" s="143">
        <f>+IF(Z424=[14]Listas!$E$46,[14]Listas!$F$46,IF(Z424=[14]Listas!$E$47,[14]Listas!$F$47,""))</f>
        <v>0.15</v>
      </c>
      <c r="AB424" s="144">
        <f>IFERROR(X424+AA424,"")</f>
        <v>0.4</v>
      </c>
      <c r="AC424" s="301" t="s">
        <v>57</v>
      </c>
      <c r="AD424" s="301" t="s">
        <v>58</v>
      </c>
      <c r="AE424" s="304" t="s">
        <v>59</v>
      </c>
      <c r="AF424" s="305" t="str">
        <f t="shared" si="60"/>
        <v>Muy baja</v>
      </c>
      <c r="AG424" s="145">
        <f>IF(Y424=[14]Listas!$G$53,AG423-(AG423*AB424),AG423)</f>
        <v>0.12959999999999999</v>
      </c>
      <c r="AH424" s="562"/>
      <c r="AI424" s="305" t="str">
        <f t="shared" si="64"/>
        <v>Leve</v>
      </c>
      <c r="AJ424" s="145">
        <f>IF(Y424=[14]Listas!$G$55,AJ423-(AJ423*AB424),AJ423)</f>
        <v>0.2</v>
      </c>
      <c r="AK424" s="562"/>
      <c r="AL424" s="565"/>
      <c r="AM424" s="565"/>
      <c r="AN424" s="565"/>
      <c r="AO424" s="568"/>
      <c r="AP424" s="631"/>
      <c r="AQ424" s="306"/>
      <c r="AR424" s="191"/>
      <c r="AZ424" s="146"/>
      <c r="BA424" s="147"/>
      <c r="BB424" s="148"/>
      <c r="BC424" s="643" t="s">
        <v>70</v>
      </c>
      <c r="BD424" s="643"/>
      <c r="BE424" s="643"/>
      <c r="BF424" s="643"/>
      <c r="BG424" s="643"/>
      <c r="BI424" s="149" t="s">
        <v>183</v>
      </c>
      <c r="BJ424" s="150" t="s">
        <v>184</v>
      </c>
      <c r="BK424" s="150" t="s">
        <v>185</v>
      </c>
      <c r="BL424" s="151" t="s">
        <v>186</v>
      </c>
      <c r="BN424" s="149" t="s">
        <v>183</v>
      </c>
      <c r="BO424" s="150" t="s">
        <v>187</v>
      </c>
      <c r="BP424" s="152" t="s">
        <v>188</v>
      </c>
      <c r="BQ424" s="152" t="s">
        <v>189</v>
      </c>
      <c r="BR424" s="151" t="s">
        <v>60</v>
      </c>
    </row>
    <row r="425" spans="2:70" ht="15.75" hidden="1" customHeight="1" thickBot="1" x14ac:dyDescent="0.4">
      <c r="B425" s="537"/>
      <c r="C425" s="560"/>
      <c r="D425" s="574"/>
      <c r="E425" s="577"/>
      <c r="F425" s="715"/>
      <c r="G425" s="718"/>
      <c r="H425" s="721"/>
      <c r="I425" s="589"/>
      <c r="J425" s="589"/>
      <c r="K425" s="592"/>
      <c r="L425" s="589"/>
      <c r="M425" s="595"/>
      <c r="N425" s="598"/>
      <c r="O425" s="601"/>
      <c r="P425" s="595"/>
      <c r="Q425" s="604"/>
      <c r="R425" s="601"/>
      <c r="S425" s="283"/>
      <c r="T425" s="604"/>
      <c r="U425" s="142" t="s">
        <v>190</v>
      </c>
      <c r="V425" s="415"/>
      <c r="W425" s="301"/>
      <c r="X425" s="302" t="str">
        <f>IF(W425=[14]Listas!$B$46,[14]Listas!$C$46,IF(W425=[14]Listas!$B$47,[14]Listas!$C$47,IF(W425=[14]Listas!$B$48,[14]Listas!$C$48,"")))</f>
        <v/>
      </c>
      <c r="Y425" s="303" t="str">
        <f>IF(OR(W425=[14]Listas!$F$53,W425=[14]Listas!$F$54),[14]Listas!$G$53,IF(W425=[14]Listas!$F$55,[14]Listas!$G$55,""))</f>
        <v/>
      </c>
      <c r="Z425" s="301"/>
      <c r="AA425" s="143" t="str">
        <f>+IF(Z425=[14]Listas!$E$46,[14]Listas!$F$46,IF(Z425=[14]Listas!$E$47,[14]Listas!$F$47,""))</f>
        <v/>
      </c>
      <c r="AB425" s="144" t="str">
        <f t="shared" ref="AB425:AB431" si="65">IFERROR(X425+AA425,"")</f>
        <v/>
      </c>
      <c r="AC425" s="301"/>
      <c r="AD425" s="301"/>
      <c r="AE425" s="304"/>
      <c r="AF425" s="305" t="str">
        <f t="shared" si="60"/>
        <v>Muy baja</v>
      </c>
      <c r="AG425" s="145">
        <f>IF(Y425=[14]Listas!$G$53,AG424-(AG424*AB425),AG424)</f>
        <v>0.12959999999999999</v>
      </c>
      <c r="AH425" s="562"/>
      <c r="AI425" s="305" t="str">
        <f t="shared" si="64"/>
        <v>Leve</v>
      </c>
      <c r="AJ425" s="145">
        <f>IF(Y425=[14]Listas!$G$55,AJ424-(AJ424*AB425),AJ424)</f>
        <v>0.2</v>
      </c>
      <c r="AK425" s="562"/>
      <c r="AL425" s="565"/>
      <c r="AM425" s="565"/>
      <c r="AN425" s="565"/>
      <c r="AO425" s="568"/>
      <c r="AP425" s="631"/>
      <c r="AQ425" s="306"/>
      <c r="AR425" s="117"/>
      <c r="AZ425" s="153"/>
      <c r="BA425" s="154"/>
      <c r="BB425" s="155" t="s">
        <v>192</v>
      </c>
      <c r="BC425" s="156">
        <v>0.2</v>
      </c>
      <c r="BD425" s="156">
        <v>0.4</v>
      </c>
      <c r="BE425" s="156">
        <v>0.6</v>
      </c>
      <c r="BF425" s="156">
        <v>0.8</v>
      </c>
      <c r="BG425" s="156">
        <v>1</v>
      </c>
      <c r="BI425" s="157" t="s">
        <v>193</v>
      </c>
      <c r="BJ425" s="158">
        <v>0.2</v>
      </c>
      <c r="BK425" s="159" t="s">
        <v>194</v>
      </c>
      <c r="BL425" s="160" t="s">
        <v>195</v>
      </c>
      <c r="BN425" s="157" t="s">
        <v>196</v>
      </c>
      <c r="BO425" s="159" t="s">
        <v>197</v>
      </c>
      <c r="BP425" s="161">
        <v>0</v>
      </c>
      <c r="BQ425" s="161">
        <v>2</v>
      </c>
      <c r="BR425" s="162">
        <v>0.2</v>
      </c>
    </row>
    <row r="426" spans="2:70" ht="30.75" hidden="1" customHeight="1" thickBot="1" x14ac:dyDescent="0.4">
      <c r="B426" s="537"/>
      <c r="C426" s="560"/>
      <c r="D426" s="574"/>
      <c r="E426" s="577"/>
      <c r="F426" s="715"/>
      <c r="G426" s="718"/>
      <c r="H426" s="721"/>
      <c r="I426" s="589"/>
      <c r="J426" s="589"/>
      <c r="K426" s="592"/>
      <c r="L426" s="589"/>
      <c r="M426" s="595"/>
      <c r="N426" s="598"/>
      <c r="O426" s="601"/>
      <c r="P426" s="595"/>
      <c r="Q426" s="604"/>
      <c r="R426" s="601"/>
      <c r="S426" s="283"/>
      <c r="T426" s="604"/>
      <c r="U426" s="142" t="s">
        <v>198</v>
      </c>
      <c r="V426" s="415"/>
      <c r="W426" s="301"/>
      <c r="X426" s="302" t="str">
        <f>IF(W426=[14]Listas!$B$46,[14]Listas!$C$46,IF(W426=[14]Listas!$B$47,[14]Listas!$C$47,IF(W426=[14]Listas!$B$48,[14]Listas!$C$48,"")))</f>
        <v/>
      </c>
      <c r="Y426" s="303" t="str">
        <f>IF(OR(W426=[14]Listas!$F$53,W426=[14]Listas!$F$54),[14]Listas!$G$53,IF(W426=[14]Listas!$F$55,[14]Listas!$G$55,""))</f>
        <v/>
      </c>
      <c r="Z426" s="301"/>
      <c r="AA426" s="143" t="str">
        <f>+IF(Z426=[14]Listas!$E$46,[14]Listas!$F$46,IF(Z426=[14]Listas!$E$47,[14]Listas!$F$47,""))</f>
        <v/>
      </c>
      <c r="AB426" s="144" t="str">
        <f t="shared" si="65"/>
        <v/>
      </c>
      <c r="AC426" s="301"/>
      <c r="AD426" s="301"/>
      <c r="AE426" s="304"/>
      <c r="AF426" s="305" t="str">
        <f t="shared" si="60"/>
        <v>Muy baja</v>
      </c>
      <c r="AG426" s="145">
        <f>IF(Y426=[14]Listas!$G$53,AG425-(AG425*AB426),AG425)</f>
        <v>0.12959999999999999</v>
      </c>
      <c r="AH426" s="562"/>
      <c r="AI426" s="305" t="str">
        <f t="shared" si="64"/>
        <v>Leve</v>
      </c>
      <c r="AJ426" s="145">
        <f>IF(Y426=[14]Listas!$G$55,AJ425-(AJ425*AB426),AJ425)</f>
        <v>0.2</v>
      </c>
      <c r="AK426" s="562"/>
      <c r="AL426" s="565"/>
      <c r="AM426" s="565"/>
      <c r="AN426" s="565"/>
      <c r="AO426" s="568"/>
      <c r="AP426" s="631"/>
      <c r="AQ426" s="306"/>
      <c r="AR426" s="117"/>
      <c r="AZ426" s="153"/>
      <c r="BA426" s="154"/>
      <c r="BB426" s="163" t="s">
        <v>200</v>
      </c>
      <c r="BC426" s="164" t="s">
        <v>193</v>
      </c>
      <c r="BD426" s="164" t="s">
        <v>201</v>
      </c>
      <c r="BE426" s="164" t="s">
        <v>83</v>
      </c>
      <c r="BF426" s="164" t="s">
        <v>202</v>
      </c>
      <c r="BG426" s="164" t="s">
        <v>203</v>
      </c>
      <c r="BI426" s="165" t="s">
        <v>201</v>
      </c>
      <c r="BJ426" s="158">
        <v>0.4</v>
      </c>
      <c r="BK426" s="166" t="s">
        <v>204</v>
      </c>
      <c r="BL426" s="167" t="s">
        <v>205</v>
      </c>
      <c r="BN426" s="165" t="s">
        <v>206</v>
      </c>
      <c r="BO426" s="166" t="s">
        <v>207</v>
      </c>
      <c r="BP426" s="161">
        <v>3</v>
      </c>
      <c r="BQ426" s="161">
        <v>24</v>
      </c>
      <c r="BR426" s="162">
        <v>0.4</v>
      </c>
    </row>
    <row r="427" spans="2:70" ht="30.75" hidden="1" customHeight="1" thickBot="1" x14ac:dyDescent="0.4">
      <c r="B427" s="537"/>
      <c r="C427" s="560"/>
      <c r="D427" s="574"/>
      <c r="E427" s="577"/>
      <c r="F427" s="715"/>
      <c r="G427" s="718"/>
      <c r="H427" s="721"/>
      <c r="I427" s="589"/>
      <c r="J427" s="589"/>
      <c r="K427" s="592"/>
      <c r="L427" s="589"/>
      <c r="M427" s="595"/>
      <c r="N427" s="598"/>
      <c r="O427" s="601"/>
      <c r="P427" s="595"/>
      <c r="Q427" s="604"/>
      <c r="R427" s="601"/>
      <c r="S427" s="283"/>
      <c r="T427" s="604"/>
      <c r="U427" s="142" t="s">
        <v>208</v>
      </c>
      <c r="V427" s="415"/>
      <c r="W427" s="301"/>
      <c r="X427" s="302" t="str">
        <f>IF(W427=[14]Listas!$B$46,[14]Listas!$C$46,IF(W427=[14]Listas!$B$47,[14]Listas!$C$47,IF(W427=[14]Listas!$B$48,[14]Listas!$C$48,"")))</f>
        <v/>
      </c>
      <c r="Y427" s="303" t="str">
        <f>IF(OR(W427=[14]Listas!$F$53,W427=[14]Listas!$F$54),[14]Listas!$G$53,IF(W427=[14]Listas!$F$55,[14]Listas!$G$55,""))</f>
        <v/>
      </c>
      <c r="Z427" s="301"/>
      <c r="AA427" s="143" t="str">
        <f>+IF(Z427=[14]Listas!$E$46,[14]Listas!$F$46,IF(Z427=[14]Listas!$E$47,[14]Listas!$F$47,""))</f>
        <v/>
      </c>
      <c r="AB427" s="144" t="str">
        <f t="shared" si="65"/>
        <v/>
      </c>
      <c r="AC427" s="301"/>
      <c r="AD427" s="301"/>
      <c r="AE427" s="304"/>
      <c r="AF427" s="305" t="str">
        <f t="shared" si="60"/>
        <v>Muy baja</v>
      </c>
      <c r="AG427" s="145">
        <f>IF(Y427=[14]Listas!$G$53,AG426-(AG426*AB427),AG426)</f>
        <v>0.12959999999999999</v>
      </c>
      <c r="AH427" s="562"/>
      <c r="AI427" s="305" t="str">
        <f t="shared" si="64"/>
        <v>Leve</v>
      </c>
      <c r="AJ427" s="145">
        <f>IF(Y427=[14]Listas!$G$55,AJ426-(AJ426*AB427),AJ426)</f>
        <v>0.2</v>
      </c>
      <c r="AK427" s="562"/>
      <c r="AL427" s="565"/>
      <c r="AM427" s="565"/>
      <c r="AN427" s="565"/>
      <c r="AO427" s="568"/>
      <c r="AP427" s="631"/>
      <c r="AQ427" s="306"/>
      <c r="AR427" s="117"/>
      <c r="AZ427" s="644" t="s">
        <v>60</v>
      </c>
      <c r="BA427" s="168">
        <v>1</v>
      </c>
      <c r="BB427" s="164" t="s">
        <v>210</v>
      </c>
      <c r="BC427" s="169" t="s">
        <v>81</v>
      </c>
      <c r="BD427" s="169" t="s">
        <v>81</v>
      </c>
      <c r="BE427" s="169" t="s">
        <v>81</v>
      </c>
      <c r="BF427" s="169" t="s">
        <v>81</v>
      </c>
      <c r="BG427" s="170" t="s">
        <v>77</v>
      </c>
      <c r="BI427" s="171" t="s">
        <v>83</v>
      </c>
      <c r="BJ427" s="158">
        <v>0.6</v>
      </c>
      <c r="BK427" s="166" t="s">
        <v>211</v>
      </c>
      <c r="BL427" s="167" t="s">
        <v>212</v>
      </c>
      <c r="BN427" s="171" t="s">
        <v>213</v>
      </c>
      <c r="BO427" s="166" t="s">
        <v>214</v>
      </c>
      <c r="BP427" s="161">
        <v>25</v>
      </c>
      <c r="BQ427" s="161">
        <v>500</v>
      </c>
      <c r="BR427" s="162">
        <v>0.6</v>
      </c>
    </row>
    <row r="428" spans="2:70" ht="30.75" hidden="1" customHeight="1" thickBot="1" x14ac:dyDescent="0.4">
      <c r="B428" s="537"/>
      <c r="C428" s="560"/>
      <c r="D428" s="574"/>
      <c r="E428" s="577"/>
      <c r="F428" s="715"/>
      <c r="G428" s="718"/>
      <c r="H428" s="721"/>
      <c r="I428" s="589"/>
      <c r="J428" s="589"/>
      <c r="K428" s="592"/>
      <c r="L428" s="589"/>
      <c r="M428" s="595"/>
      <c r="N428" s="598"/>
      <c r="O428" s="601"/>
      <c r="P428" s="595"/>
      <c r="Q428" s="604"/>
      <c r="R428" s="601"/>
      <c r="S428" s="283"/>
      <c r="T428" s="604"/>
      <c r="U428" s="142" t="s">
        <v>215</v>
      </c>
      <c r="V428" s="418"/>
      <c r="W428" s="301"/>
      <c r="X428" s="302" t="str">
        <f>IF(W428=[14]Listas!$B$46,[14]Listas!$C$46,IF(W428=[14]Listas!$B$47,[14]Listas!$C$47,IF(W428=[14]Listas!$B$48,[14]Listas!$C$48,"")))</f>
        <v/>
      </c>
      <c r="Y428" s="303" t="str">
        <f>IF(OR(W428=[14]Listas!$F$53,W428=[14]Listas!$F$54),[14]Listas!$G$53,IF(W428=[14]Listas!$F$55,[14]Listas!$G$55,""))</f>
        <v/>
      </c>
      <c r="Z428" s="301"/>
      <c r="AA428" s="143" t="str">
        <f>+IF(Z428=[14]Listas!$E$46,[14]Listas!$F$46,IF(Z428=[14]Listas!$E$47,[14]Listas!$F$47,""))</f>
        <v/>
      </c>
      <c r="AB428" s="144" t="str">
        <f t="shared" si="65"/>
        <v/>
      </c>
      <c r="AC428" s="301"/>
      <c r="AD428" s="301"/>
      <c r="AE428" s="304"/>
      <c r="AF428" s="305" t="str">
        <f t="shared" si="60"/>
        <v>Muy baja</v>
      </c>
      <c r="AG428" s="145">
        <f>IF(Y428=[14]Listas!$G$53,AG427-(AG427*AB428),AG427)</f>
        <v>0.12959999999999999</v>
      </c>
      <c r="AH428" s="562"/>
      <c r="AI428" s="305" t="str">
        <f t="shared" si="64"/>
        <v>Leve</v>
      </c>
      <c r="AJ428" s="145">
        <f>IF(Y428=[14]Listas!$G$55,AJ427-(AJ427*AB428),AJ427)</f>
        <v>0.2</v>
      </c>
      <c r="AK428" s="562"/>
      <c r="AL428" s="565"/>
      <c r="AM428" s="565"/>
      <c r="AN428" s="565"/>
      <c r="AO428" s="568"/>
      <c r="AP428" s="631"/>
      <c r="AQ428" s="306"/>
      <c r="AR428" s="117"/>
      <c r="AZ428" s="644"/>
      <c r="BA428" s="168">
        <v>0.8</v>
      </c>
      <c r="BB428" s="164" t="s">
        <v>217</v>
      </c>
      <c r="BC428" s="172" t="s">
        <v>83</v>
      </c>
      <c r="BD428" s="172" t="s">
        <v>83</v>
      </c>
      <c r="BE428" s="169" t="s">
        <v>81</v>
      </c>
      <c r="BF428" s="169" t="s">
        <v>81</v>
      </c>
      <c r="BG428" s="170" t="s">
        <v>77</v>
      </c>
      <c r="BI428" s="173" t="s">
        <v>202</v>
      </c>
      <c r="BJ428" s="158">
        <v>0.8</v>
      </c>
      <c r="BK428" s="166" t="s">
        <v>218</v>
      </c>
      <c r="BL428" s="167" t="s">
        <v>219</v>
      </c>
      <c r="BN428" s="173" t="s">
        <v>217</v>
      </c>
      <c r="BO428" s="166" t="s">
        <v>169</v>
      </c>
      <c r="BP428" s="161">
        <v>5001</v>
      </c>
      <c r="BQ428" s="161">
        <v>5000</v>
      </c>
      <c r="BR428" s="162">
        <v>0.8</v>
      </c>
    </row>
    <row r="429" spans="2:70" ht="15" hidden="1" customHeight="1" thickTop="1" x14ac:dyDescent="0.35">
      <c r="B429" s="537"/>
      <c r="C429" s="560"/>
      <c r="D429" s="574"/>
      <c r="E429" s="577"/>
      <c r="F429" s="715"/>
      <c r="G429" s="718"/>
      <c r="H429" s="721"/>
      <c r="I429" s="589"/>
      <c r="J429" s="589"/>
      <c r="K429" s="592"/>
      <c r="L429" s="589"/>
      <c r="M429" s="595"/>
      <c r="N429" s="598"/>
      <c r="O429" s="601"/>
      <c r="P429" s="595"/>
      <c r="Q429" s="604"/>
      <c r="R429" s="601"/>
      <c r="S429" s="283"/>
      <c r="T429" s="604"/>
      <c r="U429" s="142" t="s">
        <v>220</v>
      </c>
      <c r="V429" s="419"/>
      <c r="W429" s="301"/>
      <c r="X429" s="302" t="str">
        <f>IF(W429=[14]Listas!$B$46,[14]Listas!$C$46,IF(W429=[14]Listas!$B$47,[14]Listas!$C$47,IF(W429=[14]Listas!$B$48,[14]Listas!$C$48,"")))</f>
        <v/>
      </c>
      <c r="Y429" s="303" t="str">
        <f>IF(OR(W429=[14]Listas!$F$53,W429=[14]Listas!$F$54),[14]Listas!$G$53,IF(W429=[14]Listas!$F$55,[14]Listas!$G$55,""))</f>
        <v/>
      </c>
      <c r="Z429" s="301"/>
      <c r="AA429" s="143" t="str">
        <f>+IF(Z429=[14]Listas!$E$46,[14]Listas!$F$46,IF(Z429=[14]Listas!$E$47,[14]Listas!$F$47,""))</f>
        <v/>
      </c>
      <c r="AB429" s="144" t="str">
        <f t="shared" si="65"/>
        <v/>
      </c>
      <c r="AC429" s="301"/>
      <c r="AD429" s="301"/>
      <c r="AE429" s="304"/>
      <c r="AF429" s="305" t="str">
        <f t="shared" si="60"/>
        <v>Muy baja</v>
      </c>
      <c r="AG429" s="145">
        <f>IF(Y429=[14]Listas!$G$53,AG428-(AG428*AB429),AG428)</f>
        <v>0.12959999999999999</v>
      </c>
      <c r="AH429" s="562"/>
      <c r="AI429" s="305" t="str">
        <f t="shared" si="64"/>
        <v>Leve</v>
      </c>
      <c r="AJ429" s="145">
        <f>IF(Y429=[14]Listas!$G$55,AJ428-(AJ428*AB429),AJ428)</f>
        <v>0.2</v>
      </c>
      <c r="AK429" s="562"/>
      <c r="AL429" s="565"/>
      <c r="AM429" s="565"/>
      <c r="AN429" s="565"/>
      <c r="AO429" s="568"/>
      <c r="AP429" s="631"/>
      <c r="AQ429" s="306"/>
      <c r="AR429" s="117"/>
      <c r="AZ429" s="644"/>
      <c r="BA429" s="168">
        <v>0.6</v>
      </c>
      <c r="BB429" s="164" t="s">
        <v>213</v>
      </c>
      <c r="BC429" s="172" t="s">
        <v>83</v>
      </c>
      <c r="BD429" s="172" t="s">
        <v>83</v>
      </c>
      <c r="BE429" s="172" t="s">
        <v>83</v>
      </c>
      <c r="BF429" s="169" t="s">
        <v>81</v>
      </c>
      <c r="BG429" s="170" t="s">
        <v>77</v>
      </c>
      <c r="BI429" s="175" t="s">
        <v>203</v>
      </c>
      <c r="BJ429" s="158">
        <v>1</v>
      </c>
      <c r="BK429" s="166" t="s">
        <v>221</v>
      </c>
      <c r="BL429" s="167" t="s">
        <v>170</v>
      </c>
      <c r="BN429" s="175" t="s">
        <v>210</v>
      </c>
      <c r="BO429" s="166" t="s">
        <v>222</v>
      </c>
      <c r="BP429" s="161">
        <v>5001</v>
      </c>
      <c r="BQ429" s="161"/>
      <c r="BR429" s="162">
        <v>1</v>
      </c>
    </row>
    <row r="430" spans="2:70" ht="15" hidden="1" customHeight="1" thickTop="1" x14ac:dyDescent="0.35">
      <c r="B430" s="537"/>
      <c r="C430" s="560"/>
      <c r="D430" s="574"/>
      <c r="E430" s="577"/>
      <c r="F430" s="715"/>
      <c r="G430" s="718"/>
      <c r="H430" s="721"/>
      <c r="I430" s="589"/>
      <c r="J430" s="589"/>
      <c r="K430" s="592"/>
      <c r="L430" s="589"/>
      <c r="M430" s="595"/>
      <c r="N430" s="598"/>
      <c r="O430" s="601"/>
      <c r="P430" s="595"/>
      <c r="Q430" s="604"/>
      <c r="R430" s="601"/>
      <c r="S430" s="283"/>
      <c r="T430" s="604"/>
      <c r="U430" s="142" t="s">
        <v>223</v>
      </c>
      <c r="V430" s="419"/>
      <c r="W430" s="301"/>
      <c r="X430" s="302" t="str">
        <f>IF(W430=[14]Listas!$B$46,[14]Listas!$C$46,IF(W430=[14]Listas!$B$47,[14]Listas!$C$47,IF(W430=[14]Listas!$B$48,[14]Listas!$C$48,"")))</f>
        <v/>
      </c>
      <c r="Y430" s="303" t="str">
        <f>IF(OR(W430=[14]Listas!$F$53,W430=[14]Listas!$F$54),[14]Listas!$G$53,IF(W430=[14]Listas!$F$55,[14]Listas!$G$55,""))</f>
        <v/>
      </c>
      <c r="Z430" s="301"/>
      <c r="AA430" s="143" t="str">
        <f>+IF(Z430=[14]Listas!$E$46,[14]Listas!$F$46,IF(Z430=[14]Listas!$E$47,[14]Listas!$F$47,""))</f>
        <v/>
      </c>
      <c r="AB430" s="144" t="str">
        <f t="shared" si="65"/>
        <v/>
      </c>
      <c r="AC430" s="301"/>
      <c r="AD430" s="301"/>
      <c r="AE430" s="304"/>
      <c r="AF430" s="305" t="str">
        <f t="shared" si="60"/>
        <v>Muy baja</v>
      </c>
      <c r="AG430" s="145">
        <f>IF(Y430=[14]Listas!$G$53,AG429-(AG429*AB430),AG429)</f>
        <v>0.12959999999999999</v>
      </c>
      <c r="AH430" s="562"/>
      <c r="AI430" s="305" t="str">
        <f t="shared" si="64"/>
        <v>Leve</v>
      </c>
      <c r="AJ430" s="145">
        <f>IF(Y430=[14]Listas!$G$55,AJ429-(AJ429*AB430),AJ429)</f>
        <v>0.2</v>
      </c>
      <c r="AK430" s="562"/>
      <c r="AL430" s="565"/>
      <c r="AM430" s="565"/>
      <c r="AN430" s="565"/>
      <c r="AO430" s="568"/>
      <c r="AP430" s="631"/>
      <c r="AQ430" s="306"/>
      <c r="AR430" s="117"/>
      <c r="AZ430" s="644"/>
      <c r="BA430" s="168">
        <v>0.4</v>
      </c>
      <c r="BB430" s="164" t="s">
        <v>206</v>
      </c>
      <c r="BC430" s="176" t="s">
        <v>86</v>
      </c>
      <c r="BD430" s="172" t="s">
        <v>83</v>
      </c>
      <c r="BE430" s="172" t="s">
        <v>83</v>
      </c>
      <c r="BF430" s="169" t="s">
        <v>81</v>
      </c>
      <c r="BG430" s="170" t="s">
        <v>77</v>
      </c>
    </row>
    <row r="431" spans="2:70" ht="15.75" hidden="1" customHeight="1" thickTop="1" x14ac:dyDescent="0.35">
      <c r="B431" s="537"/>
      <c r="C431" s="560"/>
      <c r="D431" s="575"/>
      <c r="E431" s="578"/>
      <c r="F431" s="716"/>
      <c r="G431" s="719"/>
      <c r="H431" s="722"/>
      <c r="I431" s="590"/>
      <c r="J431" s="590"/>
      <c r="K431" s="593"/>
      <c r="L431" s="590"/>
      <c r="M431" s="596"/>
      <c r="N431" s="599"/>
      <c r="O431" s="602"/>
      <c r="P431" s="596"/>
      <c r="Q431" s="605"/>
      <c r="R431" s="602"/>
      <c r="S431" s="284"/>
      <c r="T431" s="605"/>
      <c r="U431" s="202" t="s">
        <v>224</v>
      </c>
      <c r="V431" s="420"/>
      <c r="W431" s="307"/>
      <c r="X431" s="308" t="str">
        <f>IF(W431=[14]Listas!$B$46,[14]Listas!$C$46,IF(W431=[14]Listas!$B$47,[14]Listas!$C$47,IF(W431=[14]Listas!$B$48,[14]Listas!$C$48,"")))</f>
        <v/>
      </c>
      <c r="Y431" s="309" t="str">
        <f>IF(OR(W431=[14]Listas!$F$53,W431=[14]Listas!$F$54),[14]Listas!$G$53,IF(W431=[14]Listas!$F$55,[14]Listas!$G$55,""))</f>
        <v/>
      </c>
      <c r="Z431" s="307"/>
      <c r="AA431" s="177" t="str">
        <f>+IF(Z431=[14]Listas!$E$46,[14]Listas!$F$46,IF(Z431=[14]Listas!$E$47,[14]Listas!$F$47,""))</f>
        <v/>
      </c>
      <c r="AB431" s="178" t="str">
        <f t="shared" si="65"/>
        <v/>
      </c>
      <c r="AC431" s="307"/>
      <c r="AD431" s="307"/>
      <c r="AE431" s="310"/>
      <c r="AF431" s="311" t="str">
        <f t="shared" si="60"/>
        <v>Muy baja</v>
      </c>
      <c r="AG431" s="179">
        <f>IF(Y431=[14]Listas!$G$53,AG430-(AG430*AB431),AG430)</f>
        <v>0.12959999999999999</v>
      </c>
      <c r="AH431" s="563"/>
      <c r="AI431" s="311" t="str">
        <f t="shared" si="64"/>
        <v>Leve</v>
      </c>
      <c r="AJ431" s="179">
        <f>IF(Y431=[14]Listas!$G$55,AJ430-(AJ430*AB431),AJ430)</f>
        <v>0.2</v>
      </c>
      <c r="AK431" s="563"/>
      <c r="AL431" s="566"/>
      <c r="AM431" s="566"/>
      <c r="AN431" s="566"/>
      <c r="AO431" s="569"/>
      <c r="AP431" s="632"/>
      <c r="AQ431" s="312"/>
      <c r="AR431" s="180"/>
      <c r="AZ431" s="644"/>
      <c r="BA431" s="168">
        <v>0.2</v>
      </c>
      <c r="BB431" s="164" t="s">
        <v>196</v>
      </c>
      <c r="BC431" s="176" t="s">
        <v>86</v>
      </c>
      <c r="BD431" s="176" t="s">
        <v>86</v>
      </c>
      <c r="BE431" s="172" t="s">
        <v>83</v>
      </c>
      <c r="BF431" s="169" t="s">
        <v>81</v>
      </c>
      <c r="BG431" s="170" t="s">
        <v>77</v>
      </c>
    </row>
    <row r="432" spans="2:70" ht="120" customHeight="1" thickTop="1" thickBot="1" x14ac:dyDescent="0.4">
      <c r="B432" s="537"/>
      <c r="C432" s="560"/>
      <c r="D432" s="573" t="s">
        <v>601</v>
      </c>
      <c r="E432" s="576" t="s">
        <v>5</v>
      </c>
      <c r="F432" s="708" t="s">
        <v>524</v>
      </c>
      <c r="G432" s="648" t="s">
        <v>525</v>
      </c>
      <c r="H432" s="711" t="s">
        <v>526</v>
      </c>
      <c r="I432" s="588" t="s">
        <v>28</v>
      </c>
      <c r="J432" s="588" t="s">
        <v>22</v>
      </c>
      <c r="K432" s="591" t="s">
        <v>527</v>
      </c>
      <c r="L432" s="588" t="s">
        <v>186</v>
      </c>
      <c r="M432" s="594" t="s">
        <v>207</v>
      </c>
      <c r="N432" s="597" t="str">
        <f>+IF(M432="","",IF(M432=$BO$15,$BN$15,IF(M432=$BO$16,$BN$16,IF(M432=$BO$17,$BN$17,IF(M432=$BO$18,$BN$18,IF(M432=$BO$19,$BN$19))))))</f>
        <v>Baja</v>
      </c>
      <c r="O432" s="600">
        <f>+IF(M432="","",IF(M432=$BO$15,$BR$15,IF(M432=$BO$16,$BR$16,IF(M432=$BO$17,$BR$17,IF(M432=$BO$18,$BR$18,IF(M432=$BO$19,$BR$19))))))</f>
        <v>0.4</v>
      </c>
      <c r="P432" s="594" t="s">
        <v>212</v>
      </c>
      <c r="Q432" s="603" t="str">
        <f>+IF(P432="","",IF(P432='[14]Mapa de Calor inherente'!$AF$6,'[14]Mapa de Calor inherente'!$AD$6,IF(P432='[14]Mapa de Calor inherente'!$AF$7,'[14]Mapa de Calor inherente'!$AD$7,IF(P432='[14]Mapa de Calor inherente'!$AF$8,'[14]Mapa de Calor inherente'!$AD$8,IF(P432='[14]Mapa de Calor inherente'!$AF$9,'[14]Mapa de Calor inherente'!$AD$9,IF(P432='[14]Mapa de Calor inherente'!$AF$10,'[14]Mapa de Calor inherente'!$AD$10,IF(P432='[14]Mapa de Calor inherente'!$AG$6,'[14]Mapa de Calor inherente'!$AD$6,IF(P432='[14]Mapa de Calor inherente'!$AG$7,'[14]Mapa de Calor inherente'!$AD$7,IF(P432='[14]Mapa de Calor inherente'!$AG$8,'[14]Mapa de Calor inherente'!$AD$8,IF(P432='[14]Mapa de Calor inherente'!$AG$9,'[14]Mapa de Calor inherente'!$AD$9,IF(P432='[14]Mapa de Calor inherente'!$AG$10,'[14]Mapa de Calor inherente'!$AD$10,IF(P432='[14]Mapa de Calor inherente'!$AD$8,'[14]Mapa de Calor inherente'!$AD$8,IF(P432='[14]Mapa de Calor inherente'!$AD$9,'[14]Mapa de Calor inherente'!$AD$9,IF(P432='[14]Mapa de Calor inherente'!$AD$10,'[14]Mapa de Calor inherente'!$AD$10))))))))))))))</f>
        <v>Moderado</v>
      </c>
      <c r="R432" s="600">
        <f>+IF(P432="","",IF(P432='[14]Mapa de Calor inherente'!$AF$6,'[14]Mapa de Calor inherente'!$AE$6,IF(P432='[14]Mapa de Calor inherente'!$AF$7,'[14]Mapa de Calor inherente'!$AE$7,IF(P432='[14]Mapa de Calor inherente'!$AF$8,'[14]Mapa de Calor inherente'!$AE$8,IF(P432='[14]Mapa de Calor inherente'!$AF$9,'[14]Mapa de Calor inherente'!$AE$9,IF(P432='[14]Mapa de Calor inherente'!$AF$10,'[14]Mapa de Calor inherente'!$AE$10,IF(P432='[14]Mapa de Calor inherente'!$AG$6,'[14]Mapa de Calor inherente'!$AE$6,IF(P432='[14]Mapa de Calor inherente'!$AG$7,'[14]Mapa de Calor inherente'!$AE$7,IF(P432='[14]Mapa de Calor inherente'!$AG$8,'[14]Mapa de Calor inherente'!$AE$8,IF(P432='[14]Mapa de Calor inherente'!$AG$9,'[14]Mapa de Calor inherente'!$AE$9,IF(P432='[14]Mapa de Calor inherente'!$AG$10,'[14]Mapa de Calor inherente'!$AE$10,IF(P432='[14]Mapa de Calor inherente'!$AD$8,'[14]Mapa de Calor inherente'!$AE$8,IF(P432='[14]Mapa de Calor inherente'!$AD$9,'[14]Mapa de Calor inherente'!$AE$9,IF(P432='[14]Mapa de Calor inherente'!$AD$10,'[14]Mapa de Calor inherente'!$AE$10))))))))))))))</f>
        <v>0.6</v>
      </c>
      <c r="S432" s="292"/>
      <c r="T432" s="606" t="str">
        <f>+IF(N432=$BB$17,IF(Q432=$BC$16,$BC$17,IF(Q432=$BD$16,$BD$17,IF(Q432=$BE$16,$BE$17,IF(Q432=$BF$16,$BF$17,IF(Q432=$BG$16,$BG$17))))),IF(N432=$BB$18,IF(Q432=$BC$16,$BC$18,IF(Q432=$BD$16,$BD$18,IF(Q432=$BE$16,$BE$18,IF(Q432=$BF$16,$BF$18,IF(Q432=$BG$16,$BG$18))))),IF(N432=$BB$19,IF(Q432=$BC$16,$BC$19,IF(Q432=$BD$16,$BD$19,IF(Q432=$BE$16,$BE$19,IF(Q432=$BF$16,$BF$19,IF(Q432=$BG$16,$BG$19))))),IF(N432=$BB$20,IF(Q432=$BC$16,$BC$20,IF(Q432=$BD$16,$BD$20,IF(Q432=$BE$16,$BE$20,IF(Q432=$BF$16,$BF$20,IF(Q432=$BG$16,$BG$20))))),IF(N432=$BB$21,IF(Q432=$BC$16,$BC$21,IF(Q432=$BD$16,$BD$21,IF(Q432=$BE$16,$BE$21,IF(Q432=$BF$16,$BF$21,IF(Q432=$BG$16,$BG$21))))),"")))))</f>
        <v>Moderado</v>
      </c>
      <c r="U432" s="139" t="s">
        <v>171</v>
      </c>
      <c r="V432" s="461" t="s">
        <v>602</v>
      </c>
      <c r="W432" s="313" t="s">
        <v>40</v>
      </c>
      <c r="X432" s="314">
        <f>IF(W432=[14]Listas!$B$46,[14]Listas!$C$46,IF(W432=[14]Listas!$B$47,[14]Listas!$C$47,IF(W432=[14]Listas!$B$48,[14]Listas!$C$48,"")))</f>
        <v>0.25</v>
      </c>
      <c r="Y432" s="315" t="str">
        <f>IF(OR(W432=[14]Listas!$F$53,W432=[14]Listas!$F$54),[14]Listas!$G$53,IF(W432=[14]Listas!$F$55,[14]Listas!$G$55,""))</f>
        <v>Probabilidad</v>
      </c>
      <c r="Z432" s="313" t="s">
        <v>43</v>
      </c>
      <c r="AA432" s="314">
        <f>+IF(Z432=[14]Listas!$E$46,[14]Listas!$F$46,IF(Z432=[14]Listas!$E$47,[14]Listas!$F$47,""))</f>
        <v>0.15</v>
      </c>
      <c r="AB432" s="181">
        <f>IFERROR(X432+AA432,"")</f>
        <v>0.4</v>
      </c>
      <c r="AC432" s="313" t="s">
        <v>57</v>
      </c>
      <c r="AD432" s="316" t="s">
        <v>58</v>
      </c>
      <c r="AE432" s="317" t="s">
        <v>59</v>
      </c>
      <c r="AF432" s="299" t="str">
        <f t="shared" si="60"/>
        <v>Baja</v>
      </c>
      <c r="AG432" s="141">
        <f>IF(Y432=[14]Listas!$G$53,O432-(O432*AB432),O432)</f>
        <v>0.24</v>
      </c>
      <c r="AH432" s="561">
        <f>+IF(AG441="","",AG441)</f>
        <v>0.14399999999999999</v>
      </c>
      <c r="AI432" s="299" t="str">
        <f>IF(AJ432="","",IF(AJ432&lt;=20%,"Leve",IF(AJ432&lt;=40%,"Menor",IF(AJ432&lt;=60%,"Moderado",IF(AJ432&lt;=80%,"Mayor","Catastrófico")))))</f>
        <v>Moderado</v>
      </c>
      <c r="AJ432" s="141">
        <f>IF(Y432=[14]Listas!$G$55,R432-(R432*AB432),R432)</f>
        <v>0.6</v>
      </c>
      <c r="AK432" s="561">
        <f>+IF(AJ441="","",AJ441)</f>
        <v>0.6</v>
      </c>
      <c r="AL432" s="564" t="str">
        <f>+IF(AH432=0,"",IF(AH432&lt;=$BA$21,$BB$21,IF(AH432&lt;=$BA$20,$BB$20,IF(AH432&lt;=$BA$19,$BB$19,IF(AH432&lt;=$BA$18,$BB$18,IF(AH432&lt;=$BA$17,$BB$17,""))))))</f>
        <v>Muy Baja</v>
      </c>
      <c r="AM432" s="564" t="str">
        <f>+IF(AK432=0,"",IF(AK432&lt;=$BC$15,$BC$16,IF(AK432&lt;=$BD$15,$BD$16,IF(AK432&lt;=$BE$15,$BE$16,IF(AK432&lt;=$BF$15,$BF$16,IF(AK432&lt;=$BG$15,$BG$16,""))))))</f>
        <v>Moderado</v>
      </c>
      <c r="AN432" s="564" t="str">
        <f>IF(AL432=$BB$17,IF(AM432=$BC$16,$BC$17,IF(AM432=$BD$16,$BD$17,IF(AM432=$BE$16,$BE$17,IF(AM432=$BF$16,$BF$17,IF(AM432=$BG$16,$BG$17))))),IF(AL432=$BB$18,IF(AM432=$BC$16,$BC$18,IF(AM432=$BD$16,$BD$18,IF(AM432=$BE$16,$BE$18,IF(AM432=$BF$16,$BF$18,IF(AM432=$BG$16,$BG$18))))),IF(AL432=$BB$19,IF(AM432=$BC$16,$BC$19,IF(AM432=$BD$16,$BD$19,IF(AM432=$BE$16,$BE$19,IF(AM432=$BF$16,$BF$19,IF(AM432=$BG$16,$BG$19))))),IF(AL432=$BB$20,IF(AM432=$BC$16,$BC$20,IF(AM432=$BD$16,$BD$20,IF(AM432=$BE$16,$BE$20,IF(AM432=$BF$16,$BF$20,IF(AM432=$BG$16,$BG$20))))),IF(AL432=$BB$21,IF(AM432=$BC$16,$BC$21,IF(AM432=$BD$16,$BD$21,IF(AM432=$BE$16,$BE$21,IF(AM432=$BF$16,$BF$21,IF(AM432=$BG$16,$BG$21))))),"")))))</f>
        <v>Moderado</v>
      </c>
      <c r="AO432" s="567" t="str">
        <f>IF(AP432="","",IF(AP432=[14]Listas!$F$61,[14]Listas!$G$61,IF(AP432=[14]Listas!$F$63,[14]Listas!$G$63,IF(AP432=[14]Listas!$F$64,[14]Listas!$G$64))))</f>
        <v>Requiere Plan de Acción</v>
      </c>
      <c r="AP432" s="570" t="str">
        <f>IF(AN432="","",IF(OR(AN432=[14]Listas!$E$61,AN432=[14]Listas!$E$62),[14]Listas!$F$61,IF(AN432=[14]Listas!$E$63,[14]Listas!$F$63,IF(AN432=[14]Listas!$E$64,[14]Listas!$F$64))))</f>
        <v>Aceptar o reducir el riesgo</v>
      </c>
      <c r="AQ432" s="318" t="s">
        <v>80</v>
      </c>
      <c r="AR432" s="116" t="s">
        <v>529</v>
      </c>
    </row>
    <row r="433" spans="2:44" ht="117.75" customHeight="1" thickTop="1" thickBot="1" x14ac:dyDescent="0.4">
      <c r="B433" s="537"/>
      <c r="C433" s="560"/>
      <c r="D433" s="574"/>
      <c r="E433" s="577"/>
      <c r="F433" s="709"/>
      <c r="G433" s="649"/>
      <c r="H433" s="712"/>
      <c r="I433" s="589"/>
      <c r="J433" s="589"/>
      <c r="K433" s="592"/>
      <c r="L433" s="589"/>
      <c r="M433" s="595"/>
      <c r="N433" s="598"/>
      <c r="O433" s="601"/>
      <c r="P433" s="595"/>
      <c r="Q433" s="604"/>
      <c r="R433" s="601"/>
      <c r="S433" s="286"/>
      <c r="T433" s="607"/>
      <c r="U433" s="142" t="s">
        <v>174</v>
      </c>
      <c r="V433" s="462" t="s">
        <v>603</v>
      </c>
      <c r="W433" s="319" t="s">
        <v>40</v>
      </c>
      <c r="X433" s="320">
        <f>IF(W433=[14]Listas!$B$46,[14]Listas!$C$46,IF(W433=[14]Listas!$B$47,[14]Listas!$C$47,IF(W433=[14]Listas!$B$48,[14]Listas!$C$48,"")))</f>
        <v>0.25</v>
      </c>
      <c r="Y433" s="321" t="str">
        <f>IF(OR(W433=[14]Listas!$F$53,W433=[14]Listas!$F$54),[14]Listas!$G$53,IF(W433=[14]Listas!$F$55,[14]Listas!$G$55,""))</f>
        <v>Probabilidad</v>
      </c>
      <c r="Z433" s="319" t="s">
        <v>43</v>
      </c>
      <c r="AA433" s="182">
        <f>+IF(Z433=[14]Listas!$E$46,[14]Listas!$F$46,IF(Z433=[14]Listas!$E$47,[14]Listas!$F$47,""))</f>
        <v>0.15</v>
      </c>
      <c r="AB433" s="183">
        <f>IFERROR(X433+AA433,"")</f>
        <v>0.4</v>
      </c>
      <c r="AC433" s="319" t="s">
        <v>57</v>
      </c>
      <c r="AD433" s="322" t="s">
        <v>58</v>
      </c>
      <c r="AE433" s="323" t="s">
        <v>59</v>
      </c>
      <c r="AF433" s="305" t="str">
        <f t="shared" si="60"/>
        <v>Muy baja</v>
      </c>
      <c r="AG433" s="145">
        <f>IF(Y433=[14]Listas!$G$53,AG432-(AG432*AB433),AG432)</f>
        <v>0.14399999999999999</v>
      </c>
      <c r="AH433" s="562"/>
      <c r="AI433" s="305" t="str">
        <f t="shared" si="64"/>
        <v>Moderado</v>
      </c>
      <c r="AJ433" s="145">
        <f>IF(Y433=[14]Listas!$G$55,AJ432-(AJ432*AB433),AJ432)</f>
        <v>0.6</v>
      </c>
      <c r="AK433" s="562"/>
      <c r="AL433" s="565"/>
      <c r="AM433" s="565"/>
      <c r="AN433" s="565"/>
      <c r="AO433" s="568"/>
      <c r="AP433" s="571"/>
      <c r="AQ433" s="324" t="s">
        <v>80</v>
      </c>
      <c r="AR433" s="117" t="s">
        <v>531</v>
      </c>
    </row>
    <row r="434" spans="2:44" ht="73" customHeight="1" thickTop="1" thickBot="1" x14ac:dyDescent="0.4">
      <c r="B434" s="537"/>
      <c r="C434" s="560"/>
      <c r="D434" s="574"/>
      <c r="E434" s="577"/>
      <c r="F434" s="709"/>
      <c r="G434" s="649"/>
      <c r="H434" s="712"/>
      <c r="I434" s="589"/>
      <c r="J434" s="589"/>
      <c r="K434" s="592"/>
      <c r="L434" s="589"/>
      <c r="M434" s="595"/>
      <c r="N434" s="598"/>
      <c r="O434" s="601"/>
      <c r="P434" s="595"/>
      <c r="Q434" s="604"/>
      <c r="R434" s="601"/>
      <c r="S434" s="287"/>
      <c r="T434" s="607"/>
      <c r="U434" s="142" t="s">
        <v>180</v>
      </c>
      <c r="V434" s="415"/>
      <c r="W434" s="319"/>
      <c r="X434" s="320" t="str">
        <f>IF(W434=[14]Listas!$B$46,[14]Listas!$C$46,IF(W434=[14]Listas!$B$47,[14]Listas!$C$47,IF(W434=[14]Listas!$B$48,[14]Listas!$C$48,"")))</f>
        <v/>
      </c>
      <c r="Y434" s="321" t="str">
        <f>IF(OR(W434=[14]Listas!$F$53,W434=[14]Listas!$F$54),[14]Listas!$G$53,IF(W434=[14]Listas!$F$55,[14]Listas!$G$55,""))</f>
        <v/>
      </c>
      <c r="Z434" s="319"/>
      <c r="AA434" s="182" t="str">
        <f>+IF(Z434=[14]Listas!$E$46,[14]Listas!$F$46,IF(Z434=[14]Listas!$E$47,[14]Listas!$F$47,""))</f>
        <v/>
      </c>
      <c r="AB434" s="183" t="str">
        <f>IFERROR(X434+AA434,"")</f>
        <v/>
      </c>
      <c r="AC434" s="325"/>
      <c r="AD434" s="326"/>
      <c r="AE434" s="327"/>
      <c r="AF434" s="305" t="str">
        <f t="shared" si="60"/>
        <v>Muy baja</v>
      </c>
      <c r="AG434" s="145">
        <f>IF(Y434=[14]Listas!$G$53,AG433-(AG433*AB434),AG433)</f>
        <v>0.14399999999999999</v>
      </c>
      <c r="AH434" s="562"/>
      <c r="AI434" s="305" t="str">
        <f t="shared" si="64"/>
        <v>Moderado</v>
      </c>
      <c r="AJ434" s="145">
        <f>IF(Y434=[14]Listas!$G$55,AJ433-(AJ433*AB434),AJ433)</f>
        <v>0.6</v>
      </c>
      <c r="AK434" s="562"/>
      <c r="AL434" s="565"/>
      <c r="AM434" s="565"/>
      <c r="AN434" s="565"/>
      <c r="AO434" s="568"/>
      <c r="AP434" s="571"/>
      <c r="AQ434" s="324" t="s">
        <v>90</v>
      </c>
      <c r="AR434" s="117" t="s">
        <v>532</v>
      </c>
    </row>
    <row r="435" spans="2:44" ht="15" hidden="1" customHeight="1" thickBot="1" x14ac:dyDescent="0.4">
      <c r="B435" s="537"/>
      <c r="C435" s="280"/>
      <c r="D435" s="574"/>
      <c r="E435" s="577"/>
      <c r="F435" s="709"/>
      <c r="G435" s="649"/>
      <c r="H435" s="712"/>
      <c r="I435" s="589"/>
      <c r="J435" s="589"/>
      <c r="K435" s="592"/>
      <c r="L435" s="589"/>
      <c r="M435" s="595"/>
      <c r="N435" s="598"/>
      <c r="O435" s="601"/>
      <c r="P435" s="595"/>
      <c r="Q435" s="604"/>
      <c r="R435" s="601"/>
      <c r="S435" s="287"/>
      <c r="T435" s="607"/>
      <c r="U435" s="142" t="s">
        <v>190</v>
      </c>
      <c r="V435" s="415"/>
      <c r="W435" s="319"/>
      <c r="X435" s="320" t="str">
        <f>IF(W435=[14]Listas!$B$46,[14]Listas!$C$46,IF(W435=[14]Listas!$B$47,[14]Listas!$C$47,IF(W435=[14]Listas!$B$48,[14]Listas!$C$48,"")))</f>
        <v/>
      </c>
      <c r="Y435" s="321" t="str">
        <f>IF(OR(W435=[14]Listas!$F$53,W435=[14]Listas!$F$54),[14]Listas!$G$53,IF(W435=[14]Listas!$F$55,[14]Listas!$G$55,""))</f>
        <v/>
      </c>
      <c r="Z435" s="319"/>
      <c r="AA435" s="182" t="str">
        <f>+IF(Z435=[14]Listas!$E$46,[14]Listas!$F$46,IF(Z435=[14]Listas!$E$47,[14]Listas!$F$47,""))</f>
        <v/>
      </c>
      <c r="AB435" s="183" t="str">
        <f t="shared" ref="AB435:AB441" si="66">IFERROR(X435+AA435,"")</f>
        <v/>
      </c>
      <c r="AC435" s="328"/>
      <c r="AD435" s="329"/>
      <c r="AE435" s="330"/>
      <c r="AF435" s="305" t="str">
        <f t="shared" si="60"/>
        <v>Muy baja</v>
      </c>
      <c r="AG435" s="145">
        <f>IF(Y435=[14]Listas!$G$53,AG434-(AG434*AB435),AG434)</f>
        <v>0.14399999999999999</v>
      </c>
      <c r="AH435" s="562"/>
      <c r="AI435" s="305" t="str">
        <f t="shared" si="64"/>
        <v>Moderado</v>
      </c>
      <c r="AJ435" s="145">
        <f>IF(Y435=[14]Listas!$G$55,AJ434-(AJ434*AB435),AJ434)</f>
        <v>0.6</v>
      </c>
      <c r="AK435" s="562"/>
      <c r="AL435" s="565"/>
      <c r="AM435" s="565"/>
      <c r="AN435" s="565"/>
      <c r="AO435" s="568"/>
      <c r="AP435" s="571"/>
      <c r="AQ435" s="324"/>
      <c r="AR435" s="185"/>
    </row>
    <row r="436" spans="2:44" ht="15" hidden="1" customHeight="1" x14ac:dyDescent="0.35">
      <c r="B436" s="537"/>
      <c r="C436" s="280"/>
      <c r="D436" s="574"/>
      <c r="E436" s="577"/>
      <c r="F436" s="709"/>
      <c r="G436" s="649"/>
      <c r="H436" s="712"/>
      <c r="I436" s="589"/>
      <c r="J436" s="589"/>
      <c r="K436" s="592"/>
      <c r="L436" s="589"/>
      <c r="M436" s="595"/>
      <c r="N436" s="598"/>
      <c r="O436" s="601"/>
      <c r="P436" s="595"/>
      <c r="Q436" s="604"/>
      <c r="R436" s="601"/>
      <c r="S436" s="287"/>
      <c r="T436" s="607"/>
      <c r="U436" s="142" t="s">
        <v>198</v>
      </c>
      <c r="V436" s="415"/>
      <c r="W436" s="331"/>
      <c r="X436" s="320" t="str">
        <f>IF(W436=[14]Listas!$B$46,[14]Listas!$C$46,IF(W436=[14]Listas!$B$47,[14]Listas!$C$47,IF(W436=[14]Listas!$B$48,[14]Listas!$C$48,"")))</f>
        <v/>
      </c>
      <c r="Y436" s="321" t="str">
        <f>IF(OR(W436=[14]Listas!$F$53,W436=[14]Listas!$F$54),[14]Listas!$G$53,IF(W436=[14]Listas!$F$55,[14]Listas!$G$55,""))</f>
        <v/>
      </c>
      <c r="Z436" s="331"/>
      <c r="AA436" s="182" t="str">
        <f>+IF(Z436=[14]Listas!$E$46,[14]Listas!$F$46,IF(Z436=[14]Listas!$E$47,[14]Listas!$F$47,""))</f>
        <v/>
      </c>
      <c r="AB436" s="183" t="str">
        <f t="shared" si="66"/>
        <v/>
      </c>
      <c r="AC436" s="319"/>
      <c r="AD436" s="322"/>
      <c r="AE436" s="323"/>
      <c r="AF436" s="305" t="str">
        <f t="shared" si="60"/>
        <v>Muy baja</v>
      </c>
      <c r="AG436" s="145">
        <f>IF(Y436=[14]Listas!$G$53,AG435-(AG435*AB436),AG435)</f>
        <v>0.14399999999999999</v>
      </c>
      <c r="AH436" s="562"/>
      <c r="AI436" s="305" t="str">
        <f t="shared" si="64"/>
        <v>Moderado</v>
      </c>
      <c r="AJ436" s="145">
        <f>IF(Y436=[14]Listas!$G$55,AJ435-(AJ435*AB436),AJ435)</f>
        <v>0.6</v>
      </c>
      <c r="AK436" s="562"/>
      <c r="AL436" s="565"/>
      <c r="AM436" s="565"/>
      <c r="AN436" s="565"/>
      <c r="AO436" s="568"/>
      <c r="AP436" s="571"/>
      <c r="AQ436" s="324"/>
      <c r="AR436" s="185"/>
    </row>
    <row r="437" spans="2:44" ht="15.75" hidden="1" customHeight="1" thickTop="1" x14ac:dyDescent="0.35">
      <c r="B437" s="537"/>
      <c r="C437" s="280"/>
      <c r="D437" s="574"/>
      <c r="E437" s="577"/>
      <c r="F437" s="709"/>
      <c r="G437" s="649"/>
      <c r="H437" s="712"/>
      <c r="I437" s="589"/>
      <c r="J437" s="589"/>
      <c r="K437" s="592"/>
      <c r="L437" s="589"/>
      <c r="M437" s="595"/>
      <c r="N437" s="598"/>
      <c r="O437" s="601"/>
      <c r="P437" s="595"/>
      <c r="Q437" s="604"/>
      <c r="R437" s="601"/>
      <c r="S437" s="288"/>
      <c r="T437" s="607"/>
      <c r="U437" s="142" t="s">
        <v>208</v>
      </c>
      <c r="V437" s="415"/>
      <c r="W437" s="331"/>
      <c r="X437" s="320" t="str">
        <f>IF(W437=[14]Listas!$B$46,[14]Listas!$C$46,IF(W437=[14]Listas!$B$47,[14]Listas!$C$47,IF(W437=[14]Listas!$B$48,[14]Listas!$C$48,"")))</f>
        <v/>
      </c>
      <c r="Y437" s="321" t="str">
        <f>IF(OR(W437=[14]Listas!$F$53,W437=[14]Listas!$F$54),[14]Listas!$G$53,IF(W437=[14]Listas!$F$55,[14]Listas!$G$55,""))</f>
        <v/>
      </c>
      <c r="Z437" s="331"/>
      <c r="AA437" s="182" t="str">
        <f>+IF(Z437=[14]Listas!$E$46,[14]Listas!$F$46,IF(Z437=[14]Listas!$E$47,[14]Listas!$F$47,""))</f>
        <v/>
      </c>
      <c r="AB437" s="183" t="str">
        <f t="shared" si="66"/>
        <v/>
      </c>
      <c r="AC437" s="319"/>
      <c r="AD437" s="322"/>
      <c r="AE437" s="323"/>
      <c r="AF437" s="305" t="str">
        <f t="shared" si="60"/>
        <v>Muy baja</v>
      </c>
      <c r="AG437" s="145">
        <f>IF(Y437=[14]Listas!$G$53,AG436-(AG436*AB437),AG436)</f>
        <v>0.14399999999999999</v>
      </c>
      <c r="AH437" s="562"/>
      <c r="AI437" s="305" t="str">
        <f t="shared" si="64"/>
        <v>Moderado</v>
      </c>
      <c r="AJ437" s="145">
        <f>IF(Y437=[14]Listas!$G$55,AJ436-(AJ436*AB437),AJ436)</f>
        <v>0.6</v>
      </c>
      <c r="AK437" s="562"/>
      <c r="AL437" s="565"/>
      <c r="AM437" s="565"/>
      <c r="AN437" s="565"/>
      <c r="AO437" s="568"/>
      <c r="AP437" s="571"/>
      <c r="AQ437" s="332"/>
      <c r="AR437" s="185"/>
    </row>
    <row r="438" spans="2:44" ht="15" hidden="1" customHeight="1" thickTop="1" x14ac:dyDescent="0.35">
      <c r="B438" s="537"/>
      <c r="C438" s="280"/>
      <c r="D438" s="574"/>
      <c r="E438" s="577"/>
      <c r="F438" s="709"/>
      <c r="G438" s="649"/>
      <c r="H438" s="712"/>
      <c r="I438" s="589"/>
      <c r="J438" s="589"/>
      <c r="K438" s="592"/>
      <c r="L438" s="589"/>
      <c r="M438" s="595"/>
      <c r="N438" s="598"/>
      <c r="O438" s="601"/>
      <c r="P438" s="595"/>
      <c r="Q438" s="604"/>
      <c r="R438" s="601"/>
      <c r="S438" s="289"/>
      <c r="T438" s="607"/>
      <c r="U438" s="142" t="s">
        <v>215</v>
      </c>
      <c r="V438" s="415"/>
      <c r="W438" s="331"/>
      <c r="X438" s="320" t="str">
        <f>IF(W438=[14]Listas!$B$46,[14]Listas!$C$46,IF(W438=[14]Listas!$B$47,[14]Listas!$C$47,IF(W438=[14]Listas!$B$48,[14]Listas!$C$48,"")))</f>
        <v/>
      </c>
      <c r="Y438" s="321" t="str">
        <f>IF(OR(W438=[14]Listas!$F$53,W438=[14]Listas!$F$54),[14]Listas!$G$53,IF(W438=[14]Listas!$F$55,[14]Listas!$G$55,""))</f>
        <v/>
      </c>
      <c r="Z438" s="331"/>
      <c r="AA438" s="182" t="str">
        <f>+IF(Z438=[14]Listas!$E$46,[14]Listas!$F$46,IF(Z438=[14]Listas!$E$47,[14]Listas!$F$47,""))</f>
        <v/>
      </c>
      <c r="AB438" s="183" t="str">
        <f t="shared" si="66"/>
        <v/>
      </c>
      <c r="AC438" s="319"/>
      <c r="AD438" s="322"/>
      <c r="AE438" s="323"/>
      <c r="AF438" s="305" t="str">
        <f t="shared" si="60"/>
        <v>Muy baja</v>
      </c>
      <c r="AG438" s="145">
        <f>IF(Y438=[14]Listas!$G$53,AG437-(AG437*AB438),AG437)</f>
        <v>0.14399999999999999</v>
      </c>
      <c r="AH438" s="562"/>
      <c r="AI438" s="305" t="str">
        <f t="shared" si="64"/>
        <v>Moderado</v>
      </c>
      <c r="AJ438" s="145">
        <f>IF(Y438=[14]Listas!$G$55,AJ437-(AJ437*AB438),AJ437)</f>
        <v>0.6</v>
      </c>
      <c r="AK438" s="562"/>
      <c r="AL438" s="565"/>
      <c r="AM438" s="565"/>
      <c r="AN438" s="565"/>
      <c r="AO438" s="568"/>
      <c r="AP438" s="571"/>
      <c r="AQ438" s="333"/>
      <c r="AR438" s="185"/>
    </row>
    <row r="439" spans="2:44" ht="15" hidden="1" customHeight="1" thickTop="1" x14ac:dyDescent="0.35">
      <c r="B439" s="537"/>
      <c r="C439" s="280"/>
      <c r="D439" s="574"/>
      <c r="E439" s="577"/>
      <c r="F439" s="709"/>
      <c r="G439" s="649"/>
      <c r="H439" s="712"/>
      <c r="I439" s="589"/>
      <c r="J439" s="589"/>
      <c r="K439" s="592"/>
      <c r="L439" s="589"/>
      <c r="M439" s="595"/>
      <c r="N439" s="598"/>
      <c r="O439" s="601"/>
      <c r="P439" s="595"/>
      <c r="Q439" s="604"/>
      <c r="R439" s="601"/>
      <c r="S439" s="289"/>
      <c r="T439" s="607"/>
      <c r="U439" s="142" t="s">
        <v>220</v>
      </c>
      <c r="V439" s="415"/>
      <c r="W439" s="331"/>
      <c r="X439" s="320" t="str">
        <f>IF(W439=[14]Listas!$B$46,[14]Listas!$C$46,IF(W439=[14]Listas!$B$47,[14]Listas!$C$47,IF(W439=[14]Listas!$B$48,[14]Listas!$C$48,"")))</f>
        <v/>
      </c>
      <c r="Y439" s="321" t="str">
        <f>IF(OR(W439=[14]Listas!$F$53,W439=[14]Listas!$F$54),[14]Listas!$G$53,IF(W439=[14]Listas!$F$55,[14]Listas!$G$55,""))</f>
        <v/>
      </c>
      <c r="Z439" s="331"/>
      <c r="AA439" s="182" t="str">
        <f>+IF(Z439=[14]Listas!$E$46,[14]Listas!$F$46,IF(Z439=[14]Listas!$E$47,[14]Listas!$F$47,""))</f>
        <v/>
      </c>
      <c r="AB439" s="183" t="str">
        <f t="shared" si="66"/>
        <v/>
      </c>
      <c r="AC439" s="319"/>
      <c r="AD439" s="322"/>
      <c r="AE439" s="323"/>
      <c r="AF439" s="305" t="str">
        <f t="shared" si="60"/>
        <v>Muy baja</v>
      </c>
      <c r="AG439" s="145">
        <f>IF(Y439=[14]Listas!$G$53,AG438-(AG438*AB439),AG438)</f>
        <v>0.14399999999999999</v>
      </c>
      <c r="AH439" s="562"/>
      <c r="AI439" s="305" t="str">
        <f t="shared" si="64"/>
        <v>Moderado</v>
      </c>
      <c r="AJ439" s="145">
        <f>IF(Y439=[14]Listas!$G$55,AJ438-(AJ438*AB439),AJ438)</f>
        <v>0.6</v>
      </c>
      <c r="AK439" s="562"/>
      <c r="AL439" s="565"/>
      <c r="AM439" s="565"/>
      <c r="AN439" s="565"/>
      <c r="AO439" s="568"/>
      <c r="AP439" s="571"/>
      <c r="AQ439" s="334"/>
      <c r="AR439" s="185"/>
    </row>
    <row r="440" spans="2:44" ht="15" hidden="1" customHeight="1" thickTop="1" x14ac:dyDescent="0.35">
      <c r="B440" s="537"/>
      <c r="C440" s="280"/>
      <c r="D440" s="574"/>
      <c r="E440" s="577"/>
      <c r="F440" s="709"/>
      <c r="G440" s="649"/>
      <c r="H440" s="712"/>
      <c r="I440" s="589"/>
      <c r="J440" s="589"/>
      <c r="K440" s="592"/>
      <c r="L440" s="589"/>
      <c r="M440" s="595"/>
      <c r="N440" s="598"/>
      <c r="O440" s="601"/>
      <c r="P440" s="595"/>
      <c r="Q440" s="604"/>
      <c r="R440" s="601"/>
      <c r="S440" s="289"/>
      <c r="T440" s="607"/>
      <c r="U440" s="142" t="s">
        <v>223</v>
      </c>
      <c r="V440" s="415"/>
      <c r="W440" s="331"/>
      <c r="X440" s="320" t="str">
        <f>IF(W440=[14]Listas!$B$46,[14]Listas!$C$46,IF(W440=[14]Listas!$B$47,[14]Listas!$C$47,IF(W440=[14]Listas!$B$48,[14]Listas!$C$48,"")))</f>
        <v/>
      </c>
      <c r="Y440" s="321" t="str">
        <f>IF(OR(W440=[14]Listas!$F$53,W440=[14]Listas!$F$54),[14]Listas!$G$53,IF(W440=[14]Listas!$F$55,[14]Listas!$G$55,""))</f>
        <v/>
      </c>
      <c r="Z440" s="331"/>
      <c r="AA440" s="182" t="str">
        <f>+IF(Z440=[14]Listas!$E$46,[14]Listas!$F$46,IF(Z440=[14]Listas!$E$47,[14]Listas!$F$47,""))</f>
        <v/>
      </c>
      <c r="AB440" s="183" t="str">
        <f t="shared" si="66"/>
        <v/>
      </c>
      <c r="AC440" s="319"/>
      <c r="AD440" s="322"/>
      <c r="AE440" s="323"/>
      <c r="AF440" s="305" t="str">
        <f t="shared" si="60"/>
        <v>Muy baja</v>
      </c>
      <c r="AG440" s="145">
        <f>IF(Y440=[14]Listas!$G$53,AG439-(AG439*AB440),AG439)</f>
        <v>0.14399999999999999</v>
      </c>
      <c r="AH440" s="562"/>
      <c r="AI440" s="305" t="str">
        <f t="shared" si="64"/>
        <v>Moderado</v>
      </c>
      <c r="AJ440" s="145">
        <f>IF(Y440=[14]Listas!$G$55,AJ439-(AJ439*AB440),AJ439)</f>
        <v>0.6</v>
      </c>
      <c r="AK440" s="562"/>
      <c r="AL440" s="565"/>
      <c r="AM440" s="565"/>
      <c r="AN440" s="565"/>
      <c r="AO440" s="568"/>
      <c r="AP440" s="571"/>
      <c r="AQ440" s="324"/>
      <c r="AR440" s="185"/>
    </row>
    <row r="441" spans="2:44" ht="15.75" hidden="1" customHeight="1" thickTop="1" x14ac:dyDescent="0.35">
      <c r="B441" s="537"/>
      <c r="C441" s="280"/>
      <c r="D441" s="575"/>
      <c r="E441" s="578"/>
      <c r="F441" s="710"/>
      <c r="G441" s="650"/>
      <c r="H441" s="713"/>
      <c r="I441" s="590"/>
      <c r="J441" s="590"/>
      <c r="K441" s="593"/>
      <c r="L441" s="590"/>
      <c r="M441" s="596"/>
      <c r="N441" s="599"/>
      <c r="O441" s="602"/>
      <c r="P441" s="596"/>
      <c r="Q441" s="605"/>
      <c r="R441" s="602"/>
      <c r="S441" s="293"/>
      <c r="T441" s="608"/>
      <c r="U441" s="202" t="s">
        <v>224</v>
      </c>
      <c r="V441" s="416"/>
      <c r="W441" s="335"/>
      <c r="X441" s="336" t="str">
        <f>IF(W441=[14]Listas!$B$46,[14]Listas!$C$46,IF(W441=[14]Listas!$B$47,[14]Listas!$C$47,IF(W441=[14]Listas!$B$48,[14]Listas!$C$48,"")))</f>
        <v/>
      </c>
      <c r="Y441" s="337" t="str">
        <f>IF(OR(W441=[14]Listas!$F$53,W441=[14]Listas!$F$54),[14]Listas!$G$53,IF(W441=[14]Listas!$F$55,[14]Listas!$G$55,""))</f>
        <v/>
      </c>
      <c r="Z441" s="335"/>
      <c r="AA441" s="186" t="str">
        <f>+IF(Z441=[14]Listas!$E$46,[14]Listas!$F$46,IF(Z441=[14]Listas!$E$47,[14]Listas!$F$47,""))</f>
        <v/>
      </c>
      <c r="AB441" s="187" t="str">
        <f t="shared" si="66"/>
        <v/>
      </c>
      <c r="AC441" s="338"/>
      <c r="AD441" s="339"/>
      <c r="AE441" s="340"/>
      <c r="AF441" s="311" t="str">
        <f t="shared" si="60"/>
        <v>Muy baja</v>
      </c>
      <c r="AG441" s="179">
        <f>IF(Y441=[14]Listas!$G$53,AG440-(AG440*AB441),AG440)</f>
        <v>0.14399999999999999</v>
      </c>
      <c r="AH441" s="563"/>
      <c r="AI441" s="311" t="str">
        <f t="shared" si="64"/>
        <v>Moderado</v>
      </c>
      <c r="AJ441" s="179">
        <f>IF(Y441=[14]Listas!$G$55,AJ440-(AJ440*AB441),AJ440)</f>
        <v>0.6</v>
      </c>
      <c r="AK441" s="563"/>
      <c r="AL441" s="566"/>
      <c r="AM441" s="566"/>
      <c r="AN441" s="566"/>
      <c r="AO441" s="569"/>
      <c r="AP441" s="572"/>
      <c r="AQ441" s="341"/>
      <c r="AR441" s="188"/>
    </row>
    <row r="442" spans="2:44" ht="71" thickTop="1" thickBot="1" x14ac:dyDescent="0.4">
      <c r="B442" s="537"/>
      <c r="C442" s="559" t="s">
        <v>604</v>
      </c>
      <c r="D442" s="573" t="s">
        <v>605</v>
      </c>
      <c r="E442" s="576" t="s">
        <v>4</v>
      </c>
      <c r="F442" s="624" t="s">
        <v>606</v>
      </c>
      <c r="G442" s="627" t="s">
        <v>607</v>
      </c>
      <c r="H442" s="627" t="s">
        <v>608</v>
      </c>
      <c r="I442" s="588" t="s">
        <v>20</v>
      </c>
      <c r="J442" s="588" t="s">
        <v>22</v>
      </c>
      <c r="K442" s="591"/>
      <c r="L442" s="588" t="s">
        <v>168</v>
      </c>
      <c r="M442" s="594" t="s">
        <v>169</v>
      </c>
      <c r="N442" s="597" t="str">
        <f>+IF(M442="","",IF(M442=$BO$15,$BN$15,IF(M442=$BO$16,$BN$16,IF(M442=$BO$17,$BN$17,IF(M442=$BO$18,$BN$18,IF(M442=$BO$19,$BN$19))))))</f>
        <v>Alta</v>
      </c>
      <c r="O442" s="600">
        <f>+IF(M442="","",IF(M442=$BO$15,$BR$15,IF(M442=$BO$16,$BR$16,IF(M442=$BO$17,$BR$17,IF(M442=$BO$18,$BR$18,IF(M442=$BO$19,$BR$19))))))</f>
        <v>0.8</v>
      </c>
      <c r="P442" s="594" t="s">
        <v>212</v>
      </c>
      <c r="Q442" s="603" t="str">
        <f>+IF(P442="","",IF(P442='[15]Mapa de Calor inherente'!$AF$6,'[15]Mapa de Calor inherente'!$AD$6,IF(P442='[15]Mapa de Calor inherente'!$AF$7,'[15]Mapa de Calor inherente'!$AD$7,IF(P442='[15]Mapa de Calor inherente'!$AF$8,'[15]Mapa de Calor inherente'!$AD$8,IF(P442='[15]Mapa de Calor inherente'!$AF$9,'[15]Mapa de Calor inherente'!$AD$9,IF(P442='[15]Mapa de Calor inherente'!$AF$10,'[15]Mapa de Calor inherente'!$AD$10,IF(P442='[15]Mapa de Calor inherente'!$AG$6,'[15]Mapa de Calor inherente'!$AD$6,IF(P442='[15]Mapa de Calor inherente'!$AG$7,'[15]Mapa de Calor inherente'!$AD$7,IF(P442='[15]Mapa de Calor inherente'!$AG$8,'[15]Mapa de Calor inherente'!$AD$8,IF(P442='[15]Mapa de Calor inherente'!$AG$9,'[15]Mapa de Calor inherente'!$AD$9,IF(P442='[15]Mapa de Calor inherente'!$AG$10,'[15]Mapa de Calor inherente'!$AD$10,IF(P442='[15]Mapa de Calor inherente'!$AD$8,'[15]Mapa de Calor inherente'!$AD$8,IF(P442='[15]Mapa de Calor inherente'!$AD$9,'[15]Mapa de Calor inherente'!$AD$9,IF(P442='[15]Mapa de Calor inherente'!$AD$10,'[15]Mapa de Calor inherente'!$AD$10))))))))))))))</f>
        <v>Moderado</v>
      </c>
      <c r="R442" s="600">
        <f>+IF(P442="","",IF(P442='[15]Mapa de Calor inherente'!$AF$6,'[15]Mapa de Calor inherente'!$AE$6,IF(P442='[15]Mapa de Calor inherente'!$AF$7,'[15]Mapa de Calor inherente'!$AE$7,IF(P442='[15]Mapa de Calor inherente'!$AF$8,'[15]Mapa de Calor inherente'!$AE$8,IF(P442='[15]Mapa de Calor inherente'!$AF$9,'[15]Mapa de Calor inherente'!$AE$9,IF(P442='[15]Mapa de Calor inherente'!$AF$10,'[15]Mapa de Calor inherente'!$AE$10,IF(P442='[15]Mapa de Calor inherente'!$AG$6,'[15]Mapa de Calor inherente'!$AE$6,IF(P442='[15]Mapa de Calor inherente'!$AG$7,'[15]Mapa de Calor inherente'!$AE$7,IF(P442='[15]Mapa de Calor inherente'!$AG$8,'[15]Mapa de Calor inherente'!$AE$8,IF(P442='[15]Mapa de Calor inherente'!$AG$9,'[15]Mapa de Calor inherente'!$AE$9,IF(P442='[15]Mapa de Calor inherente'!$AG$10,'[15]Mapa de Calor inherente'!$AE$10,IF(P442='[15]Mapa de Calor inherente'!$AD$8,'[15]Mapa de Calor inherente'!$AE$8,IF(P442='[15]Mapa de Calor inherente'!$AD$9,'[15]Mapa de Calor inherente'!$AE$9,IF(P442='[15]Mapa de Calor inherente'!$AD$10,'[15]Mapa de Calor inherente'!$AE$10))))))))))))))</f>
        <v>0.6</v>
      </c>
      <c r="S442" s="292"/>
      <c r="T442" s="606" t="str">
        <f>+IF(N442=$BB$17,IF(Q442=$BC$16,$BC$17,IF(Q442=$BD$16,$BD$17,IF(Q442=$BE$16,$BE$17,IF(Q442=$BF$16,$BF$17,IF(Q442=$BG$16,$BG$17))))),IF(N442=$BB$18,IF(Q442=$BC$16,$BC$18,IF(Q442=$BD$16,$BD$18,IF(Q442=$BE$16,$BE$18,IF(Q442=$BF$16,$BF$18,IF(Q442=$BG$16,$BG$18))))),IF(N442=$BB$19,IF(Q442=$BC$16,$BC$19,IF(Q442=$BD$16,$BD$19,IF(Q442=$BE$16,$BE$19,IF(Q442=$BF$16,$BF$19,IF(Q442=$BG$16,$BG$19))))),IF(N442=$BB$20,IF(Q442=$BC$16,$BC$20,IF(Q442=$BD$16,$BD$20,IF(Q442=$BE$16,$BE$20,IF(Q442=$BF$16,$BF$20,IF(Q442=$BG$16,$BG$20))))),IF(N442=$BB$21,IF(Q442=$BC$16,$BC$21,IF(Q442=$BD$16,$BD$21,IF(Q442=$BE$16,$BE$21,IF(Q442=$BF$16,$BF$21,IF(Q442=$BG$16,$BG$21))))),"")))))</f>
        <v>Alto</v>
      </c>
      <c r="U442" s="241" t="s">
        <v>171</v>
      </c>
      <c r="V442" s="454" t="s">
        <v>609</v>
      </c>
      <c r="W442" s="377" t="s">
        <v>40</v>
      </c>
      <c r="X442" s="314">
        <f>IF(W442=[15]Listas!$B$46,[15]Listas!$C$46,IF(W442=[15]Listas!$B$47,[15]Listas!$C$47,IF(W442=[15]Listas!$B$48,[15]Listas!$C$48,"")))</f>
        <v>0.25</v>
      </c>
      <c r="Y442" s="315" t="str">
        <f>IF(OR(W442=[15]Listas!$F$53,W442=[15]Listas!$F$54),[15]Listas!$G$53,IF(W442=[15]Listas!$F$55,[15]Listas!$G$55,""))</f>
        <v>Probabilidad</v>
      </c>
      <c r="Z442" s="313" t="s">
        <v>43</v>
      </c>
      <c r="AA442" s="314">
        <f>+IF(Z442=[15]Listas!$E$46,[15]Listas!$F$46,IF(Z442=[15]Listas!$E$47,[15]Listas!$F$47,""))</f>
        <v>0.15</v>
      </c>
      <c r="AB442" s="181">
        <f>IFERROR(X442+AA442,"")</f>
        <v>0.4</v>
      </c>
      <c r="AC442" s="313" t="s">
        <v>57</v>
      </c>
      <c r="AD442" s="316" t="s">
        <v>58</v>
      </c>
      <c r="AE442" s="317" t="s">
        <v>59</v>
      </c>
      <c r="AF442" s="299" t="str">
        <f t="shared" si="60"/>
        <v>Media</v>
      </c>
      <c r="AG442" s="141">
        <f>IF(Y442=[15]Listas!$G$53,O442-(O442*AB442),O442)</f>
        <v>0.48</v>
      </c>
      <c r="AH442" s="561">
        <f>+IF(AG451="","",AG451)</f>
        <v>8.4671999999999997E-2</v>
      </c>
      <c r="AI442" s="299" t="str">
        <f>IF(AJ442="","",IF(AJ442&lt;=20%,"Leve",IF(AJ442&lt;=40%,"Menor",IF(AJ442&lt;=60%,"Moderado",IF(AJ442&lt;=80%,"Mayor","Catastrófico")))))</f>
        <v>Moderado</v>
      </c>
      <c r="AJ442" s="141">
        <f>IF(Y442=[15]Listas!$G$55,R442-(R442*AB442),R442)</f>
        <v>0.6</v>
      </c>
      <c r="AK442" s="561">
        <f>+IF(AJ451="","",AJ451)</f>
        <v>0.6</v>
      </c>
      <c r="AL442" s="564" t="str">
        <f>+IF(AH442=0,"",IF(AH442&lt;=$BA$21,$BB$21,IF(AH442&lt;=$BA$20,$BB$20,IF(AH442&lt;=$BA$19,$BB$19,IF(AH442&lt;=$BA$18,$BB$18,IF(AH442&lt;=$BA$17,$BB$17,""))))))</f>
        <v>Muy Baja</v>
      </c>
      <c r="AM442" s="564" t="str">
        <f>+IF(AK442=0,"",IF(AK442&lt;=$BC$15,$BC$16,IF(AK442&lt;=$BD$15,$BD$16,IF(AK442&lt;=$BE$15,$BE$16,IF(AK442&lt;=$BF$15,$BF$16,IF(AK442&lt;=$BG$15,$BG$16,""))))))</f>
        <v>Moderado</v>
      </c>
      <c r="AN442" s="564" t="str">
        <f>IF(AL442=$BB$17,IF(AM442=$BC$16,$BC$17,IF(AM442=$BD$16,$BD$17,IF(AM442=$BE$16,$BE$17,IF(AM442=$BF$16,$BF$17,IF(AM442=$BG$16,$BG$17))))),IF(AL442=$BB$18,IF(AM442=$BC$16,$BC$18,IF(AM442=$BD$16,$BD$18,IF(AM442=$BE$16,$BE$18,IF(AM442=$BF$16,$BF$18,IF(AM442=$BG$16,$BG$18))))),IF(AL442=$BB$19,IF(AM442=$BC$16,$BC$19,IF(AM442=$BD$16,$BD$19,IF(AM442=$BE$16,$BE$19,IF(AM442=$BF$16,$BF$19,IF(AM442=$BG$16,$BG$19))))),IF(AL442=$BB$20,IF(AM442=$BC$16,$BC$20,IF(AM442=$BD$16,$BD$20,IF(AM442=$BE$16,$BE$20,IF(AM442=$BF$16,$BF$20,IF(AM442=$BG$16,$BG$20))))),IF(AL442=$BB$21,IF(AM442=$BC$16,$BC$21,IF(AM442=$BD$16,$BD$21,IF(AM442=$BE$16,$BE$21,IF(AM442=$BF$16,$BF$21,IF(AM442=$BG$16,$BG$21))))),"")))))</f>
        <v>Moderado</v>
      </c>
      <c r="AO442" s="567" t="str">
        <f>IF(AP442="","",IF(AP442=[15]Listas!$F$61,[15]Listas!$G$61,IF(AP442=[15]Listas!$F$63,[15]Listas!$G$63,IF(AP442=[15]Listas!$F$64,[15]Listas!$G$64))))</f>
        <v>Requiere Plan de Acción</v>
      </c>
      <c r="AP442" s="570" t="str">
        <f>IF(AN442="","",IF(OR(AN442=[15]Listas!$E$61,AN442=[15]Listas!$E$62),[15]Listas!$F$61,IF(AN442=[15]Listas!$E$63,[15]Listas!$F$63,IF(AN442=[15]Listas!$E$64,[15]Listas!$F$64))))</f>
        <v>Aceptar o reducir el riesgo</v>
      </c>
      <c r="AQ442" s="381" t="s">
        <v>80</v>
      </c>
      <c r="AR442" s="116" t="s">
        <v>610</v>
      </c>
    </row>
    <row r="443" spans="2:44" ht="138" customHeight="1" thickTop="1" thickBot="1" x14ac:dyDescent="0.4">
      <c r="B443" s="537"/>
      <c r="C443" s="559"/>
      <c r="D443" s="574"/>
      <c r="E443" s="577"/>
      <c r="F443" s="625"/>
      <c r="G443" s="628"/>
      <c r="H443" s="628"/>
      <c r="I443" s="589"/>
      <c r="J443" s="589"/>
      <c r="K443" s="592"/>
      <c r="L443" s="589"/>
      <c r="M443" s="595"/>
      <c r="N443" s="598"/>
      <c r="O443" s="601"/>
      <c r="P443" s="595"/>
      <c r="Q443" s="604"/>
      <c r="R443" s="601"/>
      <c r="S443" s="286"/>
      <c r="T443" s="607"/>
      <c r="U443" s="212" t="s">
        <v>174</v>
      </c>
      <c r="V443" s="478" t="s">
        <v>611</v>
      </c>
      <c r="W443" s="378" t="s">
        <v>40</v>
      </c>
      <c r="X443" s="320">
        <f>IF(W443=[15]Listas!$B$46,[15]Listas!$C$46,IF(W443=[15]Listas!$B$47,[15]Listas!$C$47,IF(W443=[15]Listas!$B$48,[15]Listas!$C$48,"")))</f>
        <v>0.25</v>
      </c>
      <c r="Y443" s="321" t="str">
        <f>IF(OR(W443=[15]Listas!$F$53,W443=[15]Listas!$F$54),[15]Listas!$G$53,IF(W443=[15]Listas!$F$55,[15]Listas!$G$55,""))</f>
        <v>Probabilidad</v>
      </c>
      <c r="Z443" s="319" t="s">
        <v>43</v>
      </c>
      <c r="AA443" s="182">
        <f>+IF(Z443=[15]Listas!$E$46,[15]Listas!$F$46,IF(Z443=[15]Listas!$E$47,[15]Listas!$F$47,""))</f>
        <v>0.15</v>
      </c>
      <c r="AB443" s="183">
        <f>IFERROR(X443+AA443,"")</f>
        <v>0.4</v>
      </c>
      <c r="AC443" s="319" t="s">
        <v>57</v>
      </c>
      <c r="AD443" s="322" t="s">
        <v>58</v>
      </c>
      <c r="AE443" s="323" t="s">
        <v>59</v>
      </c>
      <c r="AF443" s="305" t="str">
        <f t="shared" si="60"/>
        <v>Baja</v>
      </c>
      <c r="AG443" s="145">
        <f>IF(Y443=[15]Listas!$G$53,AG442-(AG442*AB443),AG442)</f>
        <v>0.28799999999999998</v>
      </c>
      <c r="AH443" s="562"/>
      <c r="AI443" s="305" t="str">
        <f t="shared" ref="AI443:AI501" si="67">IF(AJ443="","",IF(AJ443&lt;=20%,"Leve",IF(AJ443&lt;=40%,"Menor",IF(AJ443&lt;=60%,"Moderado",IF(AJ443&lt;=80%,"Mayor","Catastrófico")))))</f>
        <v>Moderado</v>
      </c>
      <c r="AJ443" s="145">
        <f>IF(Y443=[15]Listas!$G$55,AJ442-(AJ442*AB443),AJ442)</f>
        <v>0.6</v>
      </c>
      <c r="AK443" s="562"/>
      <c r="AL443" s="565"/>
      <c r="AM443" s="565"/>
      <c r="AN443" s="565"/>
      <c r="AO443" s="568"/>
      <c r="AP443" s="571"/>
      <c r="AQ443" s="382" t="s">
        <v>80</v>
      </c>
      <c r="AR443" s="114" t="s">
        <v>612</v>
      </c>
    </row>
    <row r="444" spans="2:44" ht="85" thickTop="1" thickBot="1" x14ac:dyDescent="0.4">
      <c r="B444" s="537"/>
      <c r="C444" s="559"/>
      <c r="D444" s="574"/>
      <c r="E444" s="577"/>
      <c r="F444" s="625"/>
      <c r="G444" s="628"/>
      <c r="H444" s="628"/>
      <c r="I444" s="589"/>
      <c r="J444" s="589"/>
      <c r="K444" s="592"/>
      <c r="L444" s="589"/>
      <c r="M444" s="595"/>
      <c r="N444" s="598"/>
      <c r="O444" s="601"/>
      <c r="P444" s="595"/>
      <c r="Q444" s="604"/>
      <c r="R444" s="601"/>
      <c r="S444" s="287"/>
      <c r="T444" s="607"/>
      <c r="U444" s="212" t="s">
        <v>180</v>
      </c>
      <c r="V444" s="478" t="s">
        <v>613</v>
      </c>
      <c r="W444" s="378" t="s">
        <v>40</v>
      </c>
      <c r="X444" s="320">
        <f>IF(W444=[15]Listas!$B$46,[15]Listas!$C$46,IF(W444=[15]Listas!$B$47,[15]Listas!$C$47,IF(W444=[15]Listas!$B$48,[15]Listas!$C$48,"")))</f>
        <v>0.25</v>
      </c>
      <c r="Y444" s="321" t="str">
        <f>IF(OR(W444=[15]Listas!$F$53,W444=[15]Listas!$F$54),[15]Listas!$G$53,IF(W444=[15]Listas!$F$55,[15]Listas!$G$55,""))</f>
        <v>Probabilidad</v>
      </c>
      <c r="Z444" s="319" t="s">
        <v>43</v>
      </c>
      <c r="AA444" s="182">
        <f>+IF(Z444=[15]Listas!$E$46,[15]Listas!$F$46,IF(Z444=[15]Listas!$E$47,[15]Listas!$F$47,""))</f>
        <v>0.15</v>
      </c>
      <c r="AB444" s="183">
        <f>IFERROR(X444+AA444,"")</f>
        <v>0.4</v>
      </c>
      <c r="AC444" s="319" t="s">
        <v>57</v>
      </c>
      <c r="AD444" s="322" t="s">
        <v>58</v>
      </c>
      <c r="AE444" s="323" t="s">
        <v>59</v>
      </c>
      <c r="AF444" s="305" t="str">
        <f t="shared" si="60"/>
        <v>Muy baja</v>
      </c>
      <c r="AG444" s="145">
        <f>IF(Y444=[15]Listas!$G$53,AG443-(AG443*AB444),AG443)</f>
        <v>0.17279999999999998</v>
      </c>
      <c r="AH444" s="562"/>
      <c r="AI444" s="305" t="str">
        <f t="shared" si="67"/>
        <v>Moderado</v>
      </c>
      <c r="AJ444" s="145">
        <f>IF(Y444=[15]Listas!$G$55,AJ443-(AJ443*AB444),AJ443)</f>
        <v>0.6</v>
      </c>
      <c r="AK444" s="562"/>
      <c r="AL444" s="565"/>
      <c r="AM444" s="565"/>
      <c r="AN444" s="565"/>
      <c r="AO444" s="568"/>
      <c r="AP444" s="571"/>
      <c r="AQ444" s="382" t="s">
        <v>82</v>
      </c>
      <c r="AR444" s="114" t="s">
        <v>614</v>
      </c>
    </row>
    <row r="445" spans="2:44" ht="154.5" customHeight="1" thickTop="1" thickBot="1" x14ac:dyDescent="0.4">
      <c r="B445" s="537"/>
      <c r="C445" s="559"/>
      <c r="D445" s="574"/>
      <c r="E445" s="577"/>
      <c r="F445" s="625"/>
      <c r="G445" s="628"/>
      <c r="H445" s="628"/>
      <c r="I445" s="589"/>
      <c r="J445" s="589"/>
      <c r="K445" s="592"/>
      <c r="L445" s="589"/>
      <c r="M445" s="595"/>
      <c r="N445" s="598"/>
      <c r="O445" s="601"/>
      <c r="P445" s="595"/>
      <c r="Q445" s="604"/>
      <c r="R445" s="601"/>
      <c r="S445" s="287"/>
      <c r="T445" s="607"/>
      <c r="U445" s="212" t="s">
        <v>190</v>
      </c>
      <c r="V445" s="478" t="s">
        <v>615</v>
      </c>
      <c r="W445" s="378" t="s">
        <v>42</v>
      </c>
      <c r="X445" s="320">
        <f>IF(W445=[15]Listas!$B$46,[15]Listas!$C$46,IF(W445=[15]Listas!$B$47,[15]Listas!$C$47,IF(W445=[15]Listas!$B$48,[15]Listas!$C$48,"")))</f>
        <v>0.15</v>
      </c>
      <c r="Y445" s="321" t="str">
        <f>IF(OR(W445=[15]Listas!$F$53,W445=[15]Listas!$F$54),[15]Listas!$G$53,IF(W445=[15]Listas!$F$55,[15]Listas!$G$55,""))</f>
        <v>Probabilidad</v>
      </c>
      <c r="Z445" s="319" t="s">
        <v>43</v>
      </c>
      <c r="AA445" s="182">
        <f>+IF(Z445=[15]Listas!$E$46,[15]Listas!$F$46,IF(Z445=[15]Listas!$E$47,[15]Listas!$F$47,""))</f>
        <v>0.15</v>
      </c>
      <c r="AB445" s="183">
        <f t="shared" ref="AB445:AB451" si="68">IFERROR(X445+AA445,"")</f>
        <v>0.3</v>
      </c>
      <c r="AC445" s="319" t="s">
        <v>57</v>
      </c>
      <c r="AD445" s="322" t="s">
        <v>58</v>
      </c>
      <c r="AE445" s="323" t="s">
        <v>59</v>
      </c>
      <c r="AF445" s="305" t="str">
        <f t="shared" si="60"/>
        <v>Muy baja</v>
      </c>
      <c r="AG445" s="145">
        <f>IF(Y445=[15]Listas!$G$53,AG444-(AG444*AB445),AG444)</f>
        <v>0.12095999999999998</v>
      </c>
      <c r="AH445" s="562"/>
      <c r="AI445" s="305" t="str">
        <f t="shared" si="67"/>
        <v>Moderado</v>
      </c>
      <c r="AJ445" s="145">
        <f>IF(Y445=[15]Listas!$G$55,AJ444-(AJ444*AB445),AJ444)</f>
        <v>0.6</v>
      </c>
      <c r="AK445" s="562"/>
      <c r="AL445" s="565"/>
      <c r="AM445" s="565"/>
      <c r="AN445" s="565"/>
      <c r="AO445" s="568"/>
      <c r="AP445" s="571"/>
      <c r="AQ445" s="382" t="s">
        <v>90</v>
      </c>
      <c r="AR445" s="114" t="s">
        <v>616</v>
      </c>
    </row>
    <row r="446" spans="2:44" ht="41.25" customHeight="1" thickTop="1" thickBot="1" x14ac:dyDescent="0.4">
      <c r="B446" s="537"/>
      <c r="C446" s="559"/>
      <c r="D446" s="574"/>
      <c r="E446" s="577"/>
      <c r="F446" s="625"/>
      <c r="G446" s="628"/>
      <c r="H446" s="628"/>
      <c r="I446" s="589"/>
      <c r="J446" s="589"/>
      <c r="K446" s="592"/>
      <c r="L446" s="589"/>
      <c r="M446" s="595"/>
      <c r="N446" s="598"/>
      <c r="O446" s="601"/>
      <c r="P446" s="595"/>
      <c r="Q446" s="604"/>
      <c r="R446" s="601"/>
      <c r="S446" s="287"/>
      <c r="T446" s="607"/>
      <c r="U446" s="212" t="s">
        <v>198</v>
      </c>
      <c r="V446" s="478" t="s">
        <v>617</v>
      </c>
      <c r="W446" s="383" t="s">
        <v>42</v>
      </c>
      <c r="X446" s="320">
        <f>IF(W446=[15]Listas!$B$46,[15]Listas!$C$46,IF(W446=[15]Listas!$B$47,[15]Listas!$C$47,IF(W446=[15]Listas!$B$48,[15]Listas!$C$48,"")))</f>
        <v>0.15</v>
      </c>
      <c r="Y446" s="321" t="str">
        <f>IF(OR(W446=[15]Listas!$F$53,W446=[15]Listas!$F$54),[15]Listas!$G$53,IF(W446=[15]Listas!$F$55,[15]Listas!$G$55,""))</f>
        <v>Probabilidad</v>
      </c>
      <c r="Z446" s="331" t="s">
        <v>43</v>
      </c>
      <c r="AA446" s="182">
        <f>+IF(Z446=[15]Listas!$E$46,[15]Listas!$F$46,IF(Z446=[15]Listas!$E$47,[15]Listas!$F$47,""))</f>
        <v>0.15</v>
      </c>
      <c r="AB446" s="183">
        <f t="shared" si="68"/>
        <v>0.3</v>
      </c>
      <c r="AC446" s="319" t="s">
        <v>57</v>
      </c>
      <c r="AD446" s="322" t="s">
        <v>58</v>
      </c>
      <c r="AE446" s="323" t="s">
        <v>59</v>
      </c>
      <c r="AF446" s="305" t="str">
        <f t="shared" si="60"/>
        <v>Muy baja</v>
      </c>
      <c r="AG446" s="145">
        <f>IF(Y446=[15]Listas!$G$53,AG445-(AG445*AB446),AG445)</f>
        <v>8.4671999999999997E-2</v>
      </c>
      <c r="AH446" s="562"/>
      <c r="AI446" s="305" t="str">
        <f t="shared" si="67"/>
        <v>Moderado</v>
      </c>
      <c r="AJ446" s="145">
        <f>IF(Y446=[15]Listas!$G$55,AJ445-(AJ445*AB446),AJ445)</f>
        <v>0.6</v>
      </c>
      <c r="AK446" s="562"/>
      <c r="AL446" s="565"/>
      <c r="AM446" s="565"/>
      <c r="AN446" s="565"/>
      <c r="AO446" s="568"/>
      <c r="AP446" s="571"/>
      <c r="AQ446" s="324"/>
      <c r="AR446" s="242"/>
    </row>
    <row r="447" spans="2:44" ht="15.75" hidden="1" customHeight="1" x14ac:dyDescent="0.35">
      <c r="B447" s="537"/>
      <c r="C447" s="559"/>
      <c r="D447" s="574"/>
      <c r="E447" s="577"/>
      <c r="F447" s="625"/>
      <c r="G447" s="628"/>
      <c r="H447" s="628"/>
      <c r="I447" s="589"/>
      <c r="J447" s="589"/>
      <c r="K447" s="592"/>
      <c r="L447" s="589"/>
      <c r="M447" s="595"/>
      <c r="N447" s="598"/>
      <c r="O447" s="601"/>
      <c r="P447" s="595"/>
      <c r="Q447" s="604"/>
      <c r="R447" s="601"/>
      <c r="S447" s="288"/>
      <c r="T447" s="607"/>
      <c r="U447" s="142" t="s">
        <v>208</v>
      </c>
      <c r="V447" s="441"/>
      <c r="W447" s="331"/>
      <c r="X447" s="320" t="str">
        <f>IF(W447=[15]Listas!$B$46,[15]Listas!$C$46,IF(W447=[15]Listas!$B$47,[15]Listas!$C$47,IF(W447=[15]Listas!$B$48,[15]Listas!$C$48,"")))</f>
        <v/>
      </c>
      <c r="Y447" s="321" t="str">
        <f>IF(OR(W447=[15]Listas!$F$53,W447=[15]Listas!$F$54),[15]Listas!$G$53,IF(W447=[15]Listas!$F$55,[15]Listas!$G$55,""))</f>
        <v/>
      </c>
      <c r="Z447" s="331"/>
      <c r="AA447" s="182" t="str">
        <f>+IF(Z447=[15]Listas!$E$46,[15]Listas!$F$46,IF(Z447=[15]Listas!$E$47,[15]Listas!$F$47,""))</f>
        <v/>
      </c>
      <c r="AB447" s="183" t="str">
        <f t="shared" si="68"/>
        <v/>
      </c>
      <c r="AC447" s="319" t="s">
        <v>57</v>
      </c>
      <c r="AD447" s="322" t="s">
        <v>58</v>
      </c>
      <c r="AE447" s="323" t="s">
        <v>59</v>
      </c>
      <c r="AF447" s="305" t="str">
        <f t="shared" si="60"/>
        <v>Muy baja</v>
      </c>
      <c r="AG447" s="145">
        <f>IF(Y447=[15]Listas!$G$53,AG446-(AG446*AB447),AG446)</f>
        <v>8.4671999999999997E-2</v>
      </c>
      <c r="AH447" s="562"/>
      <c r="AI447" s="305" t="str">
        <f t="shared" si="67"/>
        <v>Moderado</v>
      </c>
      <c r="AJ447" s="145">
        <f>IF(Y447=[15]Listas!$G$55,AJ446-(AJ446*AB447),AJ446)</f>
        <v>0.6</v>
      </c>
      <c r="AK447" s="562"/>
      <c r="AL447" s="565"/>
      <c r="AM447" s="565"/>
      <c r="AN447" s="565"/>
      <c r="AO447" s="568"/>
      <c r="AP447" s="571"/>
      <c r="AQ447" s="332"/>
      <c r="AR447" s="185"/>
    </row>
    <row r="448" spans="2:44" ht="15" hidden="1" customHeight="1" x14ac:dyDescent="0.35">
      <c r="B448" s="537"/>
      <c r="C448" s="559"/>
      <c r="D448" s="574"/>
      <c r="E448" s="577"/>
      <c r="F448" s="625"/>
      <c r="G448" s="628"/>
      <c r="H448" s="628"/>
      <c r="I448" s="589"/>
      <c r="J448" s="589"/>
      <c r="K448" s="592"/>
      <c r="L448" s="589"/>
      <c r="M448" s="595"/>
      <c r="N448" s="598"/>
      <c r="O448" s="601"/>
      <c r="P448" s="595"/>
      <c r="Q448" s="604"/>
      <c r="R448" s="601"/>
      <c r="S448" s="289"/>
      <c r="T448" s="607"/>
      <c r="U448" s="142" t="s">
        <v>215</v>
      </c>
      <c r="V448" s="415"/>
      <c r="W448" s="331"/>
      <c r="X448" s="320" t="str">
        <f>IF(W448=[15]Listas!$B$46,[15]Listas!$C$46,IF(W448=[15]Listas!$B$47,[15]Listas!$C$47,IF(W448=[15]Listas!$B$48,[15]Listas!$C$48,"")))</f>
        <v/>
      </c>
      <c r="Y448" s="321" t="str">
        <f>IF(OR(W448=[15]Listas!$F$53,W448=[15]Listas!$F$54),[15]Listas!$G$53,IF(W448=[15]Listas!$F$55,[15]Listas!$G$55,""))</f>
        <v/>
      </c>
      <c r="Z448" s="331"/>
      <c r="AA448" s="182" t="str">
        <f>+IF(Z448=[15]Listas!$E$46,[15]Listas!$F$46,IF(Z448=[15]Listas!$E$47,[15]Listas!$F$47,""))</f>
        <v/>
      </c>
      <c r="AB448" s="183" t="str">
        <f t="shared" si="68"/>
        <v/>
      </c>
      <c r="AC448" s="319" t="s">
        <v>57</v>
      </c>
      <c r="AD448" s="322" t="s">
        <v>58</v>
      </c>
      <c r="AE448" s="323" t="s">
        <v>59</v>
      </c>
      <c r="AF448" s="305" t="str">
        <f t="shared" si="60"/>
        <v>Muy baja</v>
      </c>
      <c r="AG448" s="145">
        <f>IF(Y448=[15]Listas!$G$53,AG447-(AG447*AB448),AG447)</f>
        <v>8.4671999999999997E-2</v>
      </c>
      <c r="AH448" s="562"/>
      <c r="AI448" s="305" t="str">
        <f t="shared" si="67"/>
        <v>Moderado</v>
      </c>
      <c r="AJ448" s="145">
        <f>IF(Y448=[15]Listas!$G$55,AJ447-(AJ447*AB448),AJ447)</f>
        <v>0.6</v>
      </c>
      <c r="AK448" s="562"/>
      <c r="AL448" s="565"/>
      <c r="AM448" s="565"/>
      <c r="AN448" s="565"/>
      <c r="AO448" s="568"/>
      <c r="AP448" s="571"/>
      <c r="AQ448" s="333"/>
      <c r="AR448" s="185"/>
    </row>
    <row r="449" spans="2:44" ht="15" hidden="1" customHeight="1" thickTop="1" x14ac:dyDescent="0.35">
      <c r="B449" s="537"/>
      <c r="C449" s="559"/>
      <c r="D449" s="574"/>
      <c r="E449" s="577"/>
      <c r="F449" s="625"/>
      <c r="G449" s="628"/>
      <c r="H449" s="628"/>
      <c r="I449" s="589"/>
      <c r="J449" s="589"/>
      <c r="K449" s="592"/>
      <c r="L449" s="589"/>
      <c r="M449" s="595"/>
      <c r="N449" s="598"/>
      <c r="O449" s="601"/>
      <c r="P449" s="595"/>
      <c r="Q449" s="604"/>
      <c r="R449" s="601"/>
      <c r="S449" s="289"/>
      <c r="T449" s="607"/>
      <c r="U449" s="142" t="s">
        <v>220</v>
      </c>
      <c r="V449" s="415"/>
      <c r="W449" s="331"/>
      <c r="X449" s="320" t="str">
        <f>IF(W449=[15]Listas!$B$46,[15]Listas!$C$46,IF(W449=[15]Listas!$B$47,[15]Listas!$C$47,IF(W449=[15]Listas!$B$48,[15]Listas!$C$48,"")))</f>
        <v/>
      </c>
      <c r="Y449" s="321" t="str">
        <f>IF(OR(W449=[15]Listas!$F$53,W449=[15]Listas!$F$54),[15]Listas!$G$53,IF(W449=[15]Listas!$F$55,[15]Listas!$G$55,""))</f>
        <v/>
      </c>
      <c r="Z449" s="331"/>
      <c r="AA449" s="182" t="str">
        <f>+IF(Z449=[15]Listas!$E$46,[15]Listas!$F$46,IF(Z449=[15]Listas!$E$47,[15]Listas!$F$47,""))</f>
        <v/>
      </c>
      <c r="AB449" s="183" t="str">
        <f t="shared" si="68"/>
        <v/>
      </c>
      <c r="AC449" s="319" t="s">
        <v>57</v>
      </c>
      <c r="AD449" s="322" t="s">
        <v>58</v>
      </c>
      <c r="AE449" s="323" t="s">
        <v>59</v>
      </c>
      <c r="AF449" s="305" t="str">
        <f t="shared" si="60"/>
        <v>Muy baja</v>
      </c>
      <c r="AG449" s="145">
        <f>IF(Y449=[15]Listas!$G$53,AG448-(AG448*AB449),AG448)</f>
        <v>8.4671999999999997E-2</v>
      </c>
      <c r="AH449" s="562"/>
      <c r="AI449" s="305" t="str">
        <f t="shared" si="67"/>
        <v>Moderado</v>
      </c>
      <c r="AJ449" s="145">
        <f>IF(Y449=[15]Listas!$G$55,AJ448-(AJ448*AB449),AJ448)</f>
        <v>0.6</v>
      </c>
      <c r="AK449" s="562"/>
      <c r="AL449" s="565"/>
      <c r="AM449" s="565"/>
      <c r="AN449" s="565"/>
      <c r="AO449" s="568"/>
      <c r="AP449" s="571"/>
      <c r="AQ449" s="334"/>
      <c r="AR449" s="185"/>
    </row>
    <row r="450" spans="2:44" ht="15" hidden="1" customHeight="1" thickTop="1" x14ac:dyDescent="0.35">
      <c r="B450" s="537"/>
      <c r="C450" s="559"/>
      <c r="D450" s="574"/>
      <c r="E450" s="577"/>
      <c r="F450" s="625"/>
      <c r="G450" s="628"/>
      <c r="H450" s="628"/>
      <c r="I450" s="589"/>
      <c r="J450" s="589"/>
      <c r="K450" s="592"/>
      <c r="L450" s="589"/>
      <c r="M450" s="595"/>
      <c r="N450" s="598"/>
      <c r="O450" s="601"/>
      <c r="P450" s="595"/>
      <c r="Q450" s="604"/>
      <c r="R450" s="601"/>
      <c r="S450" s="289"/>
      <c r="T450" s="607"/>
      <c r="U450" s="142" t="s">
        <v>223</v>
      </c>
      <c r="V450" s="415"/>
      <c r="W450" s="331"/>
      <c r="X450" s="320" t="str">
        <f>IF(W450=[15]Listas!$B$46,[15]Listas!$C$46,IF(W450=[15]Listas!$B$47,[15]Listas!$C$47,IF(W450=[15]Listas!$B$48,[15]Listas!$C$48,"")))</f>
        <v/>
      </c>
      <c r="Y450" s="321" t="str">
        <f>IF(OR(W450=[15]Listas!$F$53,W450=[15]Listas!$F$54),[15]Listas!$G$53,IF(W450=[15]Listas!$F$55,[15]Listas!$G$55,""))</f>
        <v/>
      </c>
      <c r="Z450" s="331"/>
      <c r="AA450" s="182" t="str">
        <f>+IF(Z450=[15]Listas!$E$46,[15]Listas!$F$46,IF(Z450=[15]Listas!$E$47,[15]Listas!$F$47,""))</f>
        <v/>
      </c>
      <c r="AB450" s="183" t="str">
        <f t="shared" si="68"/>
        <v/>
      </c>
      <c r="AC450" s="319" t="s">
        <v>57</v>
      </c>
      <c r="AD450" s="322" t="s">
        <v>58</v>
      </c>
      <c r="AE450" s="323" t="s">
        <v>59</v>
      </c>
      <c r="AF450" s="305" t="str">
        <f t="shared" si="60"/>
        <v>Muy baja</v>
      </c>
      <c r="AG450" s="145">
        <f>IF(Y450=[15]Listas!$G$53,AG449-(AG449*AB450),AG449)</f>
        <v>8.4671999999999997E-2</v>
      </c>
      <c r="AH450" s="562"/>
      <c r="AI450" s="305" t="str">
        <f t="shared" si="67"/>
        <v>Moderado</v>
      </c>
      <c r="AJ450" s="145">
        <f>IF(Y450=[15]Listas!$G$55,AJ449-(AJ449*AB450),AJ449)</f>
        <v>0.6</v>
      </c>
      <c r="AK450" s="562"/>
      <c r="AL450" s="565"/>
      <c r="AM450" s="565"/>
      <c r="AN450" s="565"/>
      <c r="AO450" s="568"/>
      <c r="AP450" s="571"/>
      <c r="AQ450" s="324"/>
      <c r="AR450" s="185"/>
    </row>
    <row r="451" spans="2:44" ht="15.75" hidden="1" customHeight="1" thickTop="1" x14ac:dyDescent="0.35">
      <c r="B451" s="537"/>
      <c r="C451" s="559"/>
      <c r="D451" s="692"/>
      <c r="E451" s="577"/>
      <c r="F451" s="625"/>
      <c r="G451" s="628"/>
      <c r="H451" s="628"/>
      <c r="I451" s="589"/>
      <c r="J451" s="589"/>
      <c r="K451" s="592"/>
      <c r="L451" s="589"/>
      <c r="M451" s="595"/>
      <c r="N451" s="659"/>
      <c r="O451" s="601"/>
      <c r="P451" s="595"/>
      <c r="Q451" s="660"/>
      <c r="R451" s="601"/>
      <c r="S451" s="289"/>
      <c r="T451" s="707"/>
      <c r="U451" s="213" t="s">
        <v>224</v>
      </c>
      <c r="V451" s="446"/>
      <c r="W451" s="353"/>
      <c r="X451" s="354" t="str">
        <f>IF(W451=[15]Listas!$B$46,[15]Listas!$C$46,IF(W451=[15]Listas!$B$47,[15]Listas!$C$47,IF(W451=[15]Listas!$B$48,[15]Listas!$C$48,"")))</f>
        <v/>
      </c>
      <c r="Y451" s="355" t="str">
        <f>IF(OR(W451=[15]Listas!$F$53,W451=[15]Listas!$F$54),[15]Listas!$G$53,IF(W451=[15]Listas!$F$55,[15]Listas!$G$55,""))</f>
        <v/>
      </c>
      <c r="Z451" s="353"/>
      <c r="AA451" s="214" t="str">
        <f>+IF(Z451=[15]Listas!$E$46,[15]Listas!$F$46,IF(Z451=[15]Listas!$E$47,[15]Listas!$F$47,""))</f>
        <v/>
      </c>
      <c r="AB451" s="215" t="str">
        <f t="shared" si="68"/>
        <v/>
      </c>
      <c r="AC451" s="325" t="s">
        <v>57</v>
      </c>
      <c r="AD451" s="326" t="s">
        <v>58</v>
      </c>
      <c r="AE451" s="327" t="s">
        <v>59</v>
      </c>
      <c r="AF451" s="352" t="str">
        <f t="shared" si="60"/>
        <v>Muy baja</v>
      </c>
      <c r="AG451" s="205">
        <f>IF(Y451=[15]Listas!$G$53,AG450-(AG450*AB451),AG450)</f>
        <v>8.4671999999999997E-2</v>
      </c>
      <c r="AH451" s="657"/>
      <c r="AI451" s="352" t="str">
        <f t="shared" si="67"/>
        <v>Moderado</v>
      </c>
      <c r="AJ451" s="205">
        <f>IF(Y451=[15]Listas!$G$55,AJ450-(AJ450*AB451),AJ450)</f>
        <v>0.6</v>
      </c>
      <c r="AK451" s="657"/>
      <c r="AL451" s="658"/>
      <c r="AM451" s="658"/>
      <c r="AN451" s="658"/>
      <c r="AO451" s="661"/>
      <c r="AP451" s="571"/>
      <c r="AQ451" s="334"/>
      <c r="AR451" s="243"/>
    </row>
    <row r="452" spans="2:44" ht="29" thickTop="1" thickBot="1" x14ac:dyDescent="0.4">
      <c r="B452" s="537"/>
      <c r="C452" s="559"/>
      <c r="D452" s="573" t="s">
        <v>618</v>
      </c>
      <c r="E452" s="576" t="s">
        <v>4</v>
      </c>
      <c r="F452" s="624" t="s">
        <v>619</v>
      </c>
      <c r="G452" s="627" t="s">
        <v>620</v>
      </c>
      <c r="H452" s="627" t="s">
        <v>621</v>
      </c>
      <c r="I452" s="588" t="s">
        <v>20</v>
      </c>
      <c r="J452" s="588" t="s">
        <v>22</v>
      </c>
      <c r="K452" s="591"/>
      <c r="L452" s="588" t="s">
        <v>168</v>
      </c>
      <c r="M452" s="594" t="s">
        <v>214</v>
      </c>
      <c r="N452" s="597" t="str">
        <f>+IF(M452="","",IF(M452=$BO$15,$BN$15,IF(M452=$BO$16,$BN$16,IF(M452=$BO$17,$BN$17,IF(M452=$BO$18,$BN$18,IF(M452=$BO$19,$BN$19))))))</f>
        <v>Media</v>
      </c>
      <c r="O452" s="600">
        <f>+IF(M452="","",IF(M452=$BO$15,$BR$15,IF(M452=$BO$16,$BR$16,IF(M452=$BO$17,$BR$17,IF(M452=$BO$18,$BR$18,IF(M452=$BO$19,$BR$19))))))</f>
        <v>0.6</v>
      </c>
      <c r="P452" s="594" t="s">
        <v>212</v>
      </c>
      <c r="Q452" s="603" t="str">
        <f>+IF(P452="","",IF(P452='[15]Mapa de Calor inherente'!$AF$6,'[15]Mapa de Calor inherente'!$AD$6,IF(P452='[15]Mapa de Calor inherente'!$AF$7,'[15]Mapa de Calor inherente'!$AD$7,IF(P452='[15]Mapa de Calor inherente'!$AF$8,'[15]Mapa de Calor inherente'!$AD$8,IF(P452='[15]Mapa de Calor inherente'!$AF$9,'[15]Mapa de Calor inherente'!$AD$9,IF(P452='[15]Mapa de Calor inherente'!$AF$10,'[15]Mapa de Calor inherente'!$AD$10,IF(P452='[15]Mapa de Calor inherente'!$AG$6,'[15]Mapa de Calor inherente'!$AD$6,IF(P452='[15]Mapa de Calor inherente'!$AG$7,'[15]Mapa de Calor inherente'!$AD$7,IF(P452='[15]Mapa de Calor inherente'!$AG$8,'[15]Mapa de Calor inherente'!$AD$8,IF(P452='[15]Mapa de Calor inherente'!$AG$9,'[15]Mapa de Calor inherente'!$AD$9,IF(P452='[15]Mapa de Calor inherente'!$AG$10,'[15]Mapa de Calor inherente'!$AD$10,IF(P452='[15]Mapa de Calor inherente'!$AD$8,'[15]Mapa de Calor inherente'!$AD$8,IF(P452='[15]Mapa de Calor inherente'!$AD$9,'[15]Mapa de Calor inherente'!$AD$9,IF(P452='[15]Mapa de Calor inherente'!$AD$10,'[15]Mapa de Calor inherente'!$AD$10))))))))))))))</f>
        <v>Moderado</v>
      </c>
      <c r="R452" s="600">
        <f>+IF(P452="","",IF(P452='[15]Mapa de Calor inherente'!$AF$6,'[15]Mapa de Calor inherente'!$AE$6,IF(P452='[15]Mapa de Calor inherente'!$AF$7,'[15]Mapa de Calor inherente'!$AE$7,IF(P452='[15]Mapa de Calor inherente'!$AF$8,'[15]Mapa de Calor inherente'!$AE$8,IF(P452='[15]Mapa de Calor inherente'!$AF$9,'[15]Mapa de Calor inherente'!$AE$9,IF(P452='[15]Mapa de Calor inherente'!$AF$10,'[15]Mapa de Calor inherente'!$AE$10,IF(P452='[15]Mapa de Calor inherente'!$AG$6,'[15]Mapa de Calor inherente'!$AE$6,IF(P452='[15]Mapa de Calor inherente'!$AG$7,'[15]Mapa de Calor inherente'!$AE$7,IF(P452='[15]Mapa de Calor inherente'!$AG$8,'[15]Mapa de Calor inherente'!$AE$8,IF(P452='[15]Mapa de Calor inherente'!$AG$9,'[15]Mapa de Calor inherente'!$AE$9,IF(P452='[15]Mapa de Calor inherente'!$AG$10,'[15]Mapa de Calor inherente'!$AE$10,IF(P452='[15]Mapa de Calor inherente'!$AD$8,'[15]Mapa de Calor inherente'!$AE$8,IF(P452='[15]Mapa de Calor inherente'!$AD$9,'[15]Mapa de Calor inherente'!$AE$9,IF(P452='[15]Mapa de Calor inherente'!$AD$10,'[15]Mapa de Calor inherente'!$AE$10))))))))))))))</f>
        <v>0.6</v>
      </c>
      <c r="S452" s="292"/>
      <c r="T452" s="603" t="str">
        <f>+IF(N452=$BB$17,IF(Q452=$BC$16,$BC$17,IF(Q452=$BD$16,$BD$17,IF(Q452=$BE$16,$BE$17,IF(Q452=$BF$16,$BF$17,IF(Q452=$BG$16,$BG$17))))),IF(N452=$BB$18,IF(Q452=$BC$16,$BC$18,IF(Q452=$BD$16,$BD$18,IF(Q452=$BE$16,$BE$18,IF(Q452=$BF$16,$BF$18,IF(Q452=$BG$16,$BG$18))))),IF(N452=$BB$19,IF(Q452=$BC$16,$BC$19,IF(Q452=$BD$16,$BD$19,IF(Q452=$BE$16,$BE$19,IF(Q452=$BF$16,$BF$19,IF(Q452=$BG$16,$BG$19))))),IF(N452=$BB$20,IF(Q452=$BC$16,$BC$20,IF(Q452=$BD$16,$BD$20,IF(Q452=$BE$16,$BE$20,IF(Q452=$BF$16,$BF$20,IF(Q452=$BG$16,$BG$20))))),IF(N452=$BB$21,IF(Q452=$BC$16,$BC$21,IF(Q452=$BD$16,$BD$21,IF(Q452=$BE$16,$BE$21,IF(Q452=$BF$16,$BF$21,IF(Q452=$BG$16,$BG$21))))),"")))))</f>
        <v>Moderado</v>
      </c>
      <c r="U452" s="241" t="s">
        <v>171</v>
      </c>
      <c r="V452" s="454" t="s">
        <v>622</v>
      </c>
      <c r="W452" s="377" t="s">
        <v>40</v>
      </c>
      <c r="X452" s="314">
        <f>IF(W452=[15]Listas!$B$46,[15]Listas!$C$46,IF(W452=[15]Listas!$B$47,[15]Listas!$C$47,IF(W452=[15]Listas!$B$48,[15]Listas!$C$48,"")))</f>
        <v>0.25</v>
      </c>
      <c r="Y452" s="315" t="str">
        <f>IF(OR(W452=[15]Listas!$F$53,W452=[15]Listas!$F$54),[15]Listas!$G$53,IF(W452=[15]Listas!$F$55,[15]Listas!$G$55,""))</f>
        <v>Probabilidad</v>
      </c>
      <c r="Z452" s="313" t="s">
        <v>43</v>
      </c>
      <c r="AA452" s="314">
        <f>+IF(Z452=[15]Listas!$E$46,[15]Listas!$F$46,IF(Z452=[15]Listas!$E$47,[15]Listas!$F$47,""))</f>
        <v>0.15</v>
      </c>
      <c r="AB452" s="181">
        <f>IFERROR(X452+AA452,"")</f>
        <v>0.4</v>
      </c>
      <c r="AC452" s="313" t="s">
        <v>57</v>
      </c>
      <c r="AD452" s="316" t="s">
        <v>58</v>
      </c>
      <c r="AE452" s="317" t="s">
        <v>59</v>
      </c>
      <c r="AF452" s="299" t="str">
        <f t="shared" si="60"/>
        <v>Baja</v>
      </c>
      <c r="AG452" s="141">
        <f>IF(Y452=[15]Listas!$G$53,O452-(O452*AB452),O452)</f>
        <v>0.36</v>
      </c>
      <c r="AH452" s="561">
        <f>+IF(AG461="","",AG461)</f>
        <v>0.1512</v>
      </c>
      <c r="AI452" s="299" t="str">
        <f>IF(AJ452="","",IF(AJ452&lt;=20%,"Leve",IF(AJ452&lt;=40%,"Menor",IF(AJ452&lt;=60%,"Moderado",IF(AJ452&lt;=80%,"Mayor","Catastrófico")))))</f>
        <v>Moderado</v>
      </c>
      <c r="AJ452" s="141">
        <f>IF(Y452=[15]Listas!$G$55,R452-(R452*AB452),R452)</f>
        <v>0.6</v>
      </c>
      <c r="AK452" s="561">
        <f>+IF(AJ461="","",AJ461)</f>
        <v>0.6</v>
      </c>
      <c r="AL452" s="564" t="str">
        <f>+IF(AH452=0,"",IF(AH452&lt;=$BA$21,$BB$21,IF(AH452&lt;=$BA$20,$BB$20,IF(AH452&lt;=$BA$19,$BB$19,IF(AH452&lt;=$BA$18,$BB$18,IF(AH452&lt;=$BA$17,$BB$17,""))))))</f>
        <v>Muy Baja</v>
      </c>
      <c r="AM452" s="564" t="str">
        <f>+IF(AK452=0,"",IF(AK452&lt;=$BC$15,$BC$16,IF(AK452&lt;=$BD$15,$BD$16,IF(AK452&lt;=$BE$15,$BE$16,IF(AK452&lt;=$BF$15,$BF$16,IF(AK452&lt;=$BG$15,$BG$16,""))))))</f>
        <v>Moderado</v>
      </c>
      <c r="AN452" s="564" t="str">
        <f>IF(AL452=$BB$17,IF(AM452=$BC$16,$BC$17,IF(AM452=$BD$16,$BD$17,IF(AM452=$BE$16,$BE$17,IF(AM452=$BF$16,$BF$17,IF(AM452=$BG$16,$BG$17))))),IF(AL452=$BB$18,IF(AM452=$BC$16,$BC$18,IF(AM452=$BD$16,$BD$18,IF(AM452=$BE$16,$BE$18,IF(AM452=$BF$16,$BF$18,IF(AM452=$BG$16,$BG$18))))),IF(AL452=$BB$19,IF(AM452=$BC$16,$BC$19,IF(AM452=$BD$16,$BD$19,IF(AM452=$BE$16,$BE$19,IF(AM452=$BF$16,$BF$19,IF(AM452=$BG$16,$BG$19))))),IF(AL452=$BB$20,IF(AM452=$BC$16,$BC$20,IF(AM452=$BD$16,$BD$20,IF(AM452=$BE$16,$BE$20,IF(AM452=$BF$16,$BF$20,IF(AM452=$BG$16,$BG$20))))),IF(AL452=$BB$21,IF(AM452=$BC$16,$BC$21,IF(AM452=$BD$16,$BD$21,IF(AM452=$BE$16,$BE$21,IF(AM452=$BF$16,$BF$21,IF(AM452=$BG$16,$BG$21))))),"")))))</f>
        <v>Moderado</v>
      </c>
      <c r="AO452" s="567" t="str">
        <f>IF(AP452="","",IF(AP452=[15]Listas!$F$61,[15]Listas!$G$61,IF(AP452=[15]Listas!$F$63,[15]Listas!$G$63,IF(AP452=[15]Listas!$F$64,[15]Listas!$G$64))))</f>
        <v>Requiere Plan de Acción</v>
      </c>
      <c r="AP452" s="570" t="str">
        <f>IF(AN452="","",IF(OR(AN452=[15]Listas!$E$61,AN452=[15]Listas!$E$62),[15]Listas!$F$61,IF(AN452=[15]Listas!$E$63,[15]Listas!$F$63,IF(AN452=[15]Listas!$E$64,[15]Listas!$F$64))))</f>
        <v>Aceptar o reducir el riesgo</v>
      </c>
      <c r="AQ452" s="347" t="s">
        <v>80</v>
      </c>
      <c r="AR452" s="116" t="s">
        <v>623</v>
      </c>
    </row>
    <row r="453" spans="2:44" ht="141" thickTop="1" thickBot="1" x14ac:dyDescent="0.4">
      <c r="B453" s="537"/>
      <c r="C453" s="559"/>
      <c r="D453" s="574"/>
      <c r="E453" s="577"/>
      <c r="F453" s="625"/>
      <c r="G453" s="628"/>
      <c r="H453" s="628"/>
      <c r="I453" s="589"/>
      <c r="J453" s="589"/>
      <c r="K453" s="592"/>
      <c r="L453" s="589"/>
      <c r="M453" s="595"/>
      <c r="N453" s="598"/>
      <c r="O453" s="601"/>
      <c r="P453" s="595"/>
      <c r="Q453" s="604"/>
      <c r="R453" s="601"/>
      <c r="S453" s="286"/>
      <c r="T453" s="604"/>
      <c r="U453" s="212" t="s">
        <v>174</v>
      </c>
      <c r="V453" s="478" t="s">
        <v>624</v>
      </c>
      <c r="W453" s="383" t="s">
        <v>40</v>
      </c>
      <c r="X453" s="320">
        <f>IF(W453=[15]Listas!$B$46,[15]Listas!$C$46,IF(W453=[15]Listas!$B$47,[15]Listas!$C$47,IF(W453=[15]Listas!$B$48,[15]Listas!$C$48,"")))</f>
        <v>0.25</v>
      </c>
      <c r="Y453" s="321" t="str">
        <f>IF(OR(W453=[15]Listas!$F$53,W453=[15]Listas!$F$54),[15]Listas!$G$53,IF(W453=[15]Listas!$F$55,[15]Listas!$G$55,""))</f>
        <v>Probabilidad</v>
      </c>
      <c r="Z453" s="331" t="s">
        <v>43</v>
      </c>
      <c r="AA453" s="182">
        <f>+IF(Z453=[15]Listas!$E$46,[15]Listas!$F$46,IF(Z453=[15]Listas!$E$47,[15]Listas!$F$47,""))</f>
        <v>0.15</v>
      </c>
      <c r="AB453" s="183">
        <f>IFERROR(X453+AA453,"")</f>
        <v>0.4</v>
      </c>
      <c r="AC453" s="319" t="s">
        <v>57</v>
      </c>
      <c r="AD453" s="322" t="s">
        <v>58</v>
      </c>
      <c r="AE453" s="323" t="s">
        <v>59</v>
      </c>
      <c r="AF453" s="305" t="str">
        <f t="shared" si="60"/>
        <v>Baja</v>
      </c>
      <c r="AG453" s="145">
        <f>IF(Y453=[15]Listas!$G$53,AG452-(AG452*AB453),AG452)</f>
        <v>0.216</v>
      </c>
      <c r="AH453" s="562"/>
      <c r="AI453" s="305" t="str">
        <f t="shared" si="67"/>
        <v>Moderado</v>
      </c>
      <c r="AJ453" s="145">
        <f>IF(Y453=[15]Listas!$G$55,AJ452-(AJ452*AB453),AJ452)</f>
        <v>0.6</v>
      </c>
      <c r="AK453" s="562"/>
      <c r="AL453" s="565"/>
      <c r="AM453" s="565"/>
      <c r="AN453" s="565"/>
      <c r="AO453" s="568"/>
      <c r="AP453" s="571"/>
      <c r="AQ453" s="343" t="s">
        <v>90</v>
      </c>
      <c r="AR453" s="404" t="s">
        <v>625</v>
      </c>
    </row>
    <row r="454" spans="2:44" ht="48.75" customHeight="1" thickTop="1" thickBot="1" x14ac:dyDescent="0.4">
      <c r="B454" s="537"/>
      <c r="C454" s="559"/>
      <c r="D454" s="574"/>
      <c r="E454" s="577"/>
      <c r="F454" s="625"/>
      <c r="G454" s="628"/>
      <c r="H454" s="628"/>
      <c r="I454" s="589"/>
      <c r="J454" s="589"/>
      <c r="K454" s="592"/>
      <c r="L454" s="589"/>
      <c r="M454" s="595"/>
      <c r="N454" s="598"/>
      <c r="O454" s="601"/>
      <c r="P454" s="595"/>
      <c r="Q454" s="604"/>
      <c r="R454" s="601"/>
      <c r="S454" s="287"/>
      <c r="T454" s="604"/>
      <c r="U454" s="212" t="s">
        <v>180</v>
      </c>
      <c r="V454" s="478" t="s">
        <v>626</v>
      </c>
      <c r="W454" s="383" t="s">
        <v>42</v>
      </c>
      <c r="X454" s="320">
        <f>IF(W454=[15]Listas!$B$46,[15]Listas!$C$46,IF(W454=[15]Listas!$B$47,[15]Listas!$C$47,IF(W454=[15]Listas!$B$48,[15]Listas!$C$48,"")))</f>
        <v>0.15</v>
      </c>
      <c r="Y454" s="321" t="str">
        <f>IF(OR(W454=[15]Listas!$F$53,W454=[15]Listas!$F$54),[15]Listas!$G$53,IF(W454=[15]Listas!$F$55,[15]Listas!$G$55,""))</f>
        <v>Probabilidad</v>
      </c>
      <c r="Z454" s="331" t="s">
        <v>43</v>
      </c>
      <c r="AA454" s="182">
        <f>+IF(Z454=[15]Listas!$E$46,[15]Listas!$F$46,IF(Z454=[15]Listas!$E$47,[15]Listas!$F$47,""))</f>
        <v>0.15</v>
      </c>
      <c r="AB454" s="183">
        <f>IFERROR(X454+AA454,"")</f>
        <v>0.3</v>
      </c>
      <c r="AC454" s="319" t="s">
        <v>57</v>
      </c>
      <c r="AD454" s="322" t="s">
        <v>58</v>
      </c>
      <c r="AE454" s="323" t="s">
        <v>59</v>
      </c>
      <c r="AF454" s="305" t="str">
        <f t="shared" si="60"/>
        <v>Muy baja</v>
      </c>
      <c r="AG454" s="145">
        <f>IF(Y454=[15]Listas!$G$53,AG453-(AG453*AB454),AG453)</f>
        <v>0.1512</v>
      </c>
      <c r="AH454" s="562"/>
      <c r="AI454" s="305" t="str">
        <f t="shared" si="67"/>
        <v>Moderado</v>
      </c>
      <c r="AJ454" s="145">
        <f>IF(Y454=[15]Listas!$G$55,AJ453-(AJ453*AB454),AJ453)</f>
        <v>0.6</v>
      </c>
      <c r="AK454" s="562"/>
      <c r="AL454" s="565"/>
      <c r="AM454" s="565"/>
      <c r="AN454" s="565"/>
      <c r="AO454" s="568"/>
      <c r="AP454" s="571"/>
      <c r="AQ454" s="343"/>
      <c r="AR454" s="191"/>
    </row>
    <row r="455" spans="2:44" ht="15" hidden="1" customHeight="1" x14ac:dyDescent="0.35">
      <c r="B455" s="537"/>
      <c r="C455" s="559"/>
      <c r="D455" s="574"/>
      <c r="E455" s="577"/>
      <c r="F455" s="625"/>
      <c r="G455" s="628"/>
      <c r="H455" s="628"/>
      <c r="I455" s="589"/>
      <c r="J455" s="589"/>
      <c r="K455" s="592"/>
      <c r="L455" s="589"/>
      <c r="M455" s="595"/>
      <c r="N455" s="598"/>
      <c r="O455" s="601"/>
      <c r="P455" s="595"/>
      <c r="Q455" s="604"/>
      <c r="R455" s="601"/>
      <c r="S455" s="287"/>
      <c r="T455" s="604"/>
      <c r="U455" s="142" t="s">
        <v>190</v>
      </c>
      <c r="V455" s="441"/>
      <c r="W455" s="331"/>
      <c r="X455" s="320" t="str">
        <f>IF(W455=[15]Listas!$B$46,[15]Listas!$C$46,IF(W455=[15]Listas!$B$47,[15]Listas!$C$47,IF(W455=[15]Listas!$B$48,[15]Listas!$C$48,"")))</f>
        <v/>
      </c>
      <c r="Y455" s="321" t="str">
        <f>IF(OR(W455=[15]Listas!$F$53,W455=[15]Listas!$F$54),[15]Listas!$G$53,IF(W455=[15]Listas!$F$55,[15]Listas!$G$55,""))</f>
        <v/>
      </c>
      <c r="Z455" s="331"/>
      <c r="AA455" s="182" t="str">
        <f>+IF(Z455=[15]Listas!$E$46,[15]Listas!$F$46,IF(Z455=[15]Listas!$E$47,[15]Listas!$F$47,""))</f>
        <v/>
      </c>
      <c r="AB455" s="183" t="str">
        <f t="shared" ref="AB455:AB461" si="69">IFERROR(X455+AA455,"")</f>
        <v/>
      </c>
      <c r="AC455" s="319"/>
      <c r="AD455" s="319"/>
      <c r="AE455" s="323"/>
      <c r="AF455" s="305" t="str">
        <f t="shared" si="60"/>
        <v>Muy baja</v>
      </c>
      <c r="AG455" s="145">
        <f>IF(Y455=[15]Listas!$G$53,AG454-(AG454*AB455),AG454)</f>
        <v>0.1512</v>
      </c>
      <c r="AH455" s="562"/>
      <c r="AI455" s="305" t="str">
        <f t="shared" si="67"/>
        <v>Moderado</v>
      </c>
      <c r="AJ455" s="145">
        <f>IF(Y455=[15]Listas!$G$55,AJ454-(AJ454*AB455),AJ454)</f>
        <v>0.6</v>
      </c>
      <c r="AK455" s="562"/>
      <c r="AL455" s="565"/>
      <c r="AM455" s="565"/>
      <c r="AN455" s="565"/>
      <c r="AO455" s="568"/>
      <c r="AP455" s="571"/>
      <c r="AQ455" s="344"/>
      <c r="AR455" s="191"/>
    </row>
    <row r="456" spans="2:44" ht="15" hidden="1" customHeight="1" x14ac:dyDescent="0.35">
      <c r="B456" s="537"/>
      <c r="C456" s="559"/>
      <c r="D456" s="574"/>
      <c r="E456" s="577"/>
      <c r="F456" s="625"/>
      <c r="G456" s="628"/>
      <c r="H456" s="628"/>
      <c r="I456" s="589"/>
      <c r="J456" s="589"/>
      <c r="K456" s="592"/>
      <c r="L456" s="589"/>
      <c r="M456" s="595"/>
      <c r="N456" s="598"/>
      <c r="O456" s="601"/>
      <c r="P456" s="595"/>
      <c r="Q456" s="604"/>
      <c r="R456" s="601"/>
      <c r="S456" s="287"/>
      <c r="T456" s="604"/>
      <c r="U456" s="142" t="s">
        <v>198</v>
      </c>
      <c r="V456" s="415"/>
      <c r="W456" s="331"/>
      <c r="X456" s="320" t="str">
        <f>IF(W456=[15]Listas!$B$46,[15]Listas!$C$46,IF(W456=[15]Listas!$B$47,[15]Listas!$C$47,IF(W456=[15]Listas!$B$48,[15]Listas!$C$48,"")))</f>
        <v/>
      </c>
      <c r="Y456" s="321" t="str">
        <f>IF(OR(W456=[15]Listas!$F$53,W456=[15]Listas!$F$54),[15]Listas!$G$53,IF(W456=[15]Listas!$F$55,[15]Listas!$G$55,""))</f>
        <v/>
      </c>
      <c r="Z456" s="331"/>
      <c r="AA456" s="182" t="str">
        <f>+IF(Z456=[15]Listas!$E$46,[15]Listas!$F$46,IF(Z456=[15]Listas!$E$47,[15]Listas!$F$47,""))</f>
        <v/>
      </c>
      <c r="AB456" s="183" t="str">
        <f t="shared" si="69"/>
        <v/>
      </c>
      <c r="AC456" s="319"/>
      <c r="AD456" s="319"/>
      <c r="AE456" s="323"/>
      <c r="AF456" s="305" t="str">
        <f t="shared" si="60"/>
        <v>Muy baja</v>
      </c>
      <c r="AG456" s="145">
        <f>IF(Y456=[15]Listas!$G$53,AG455-(AG455*AB456),AG455)</f>
        <v>0.1512</v>
      </c>
      <c r="AH456" s="562"/>
      <c r="AI456" s="305" t="str">
        <f t="shared" si="67"/>
        <v>Moderado</v>
      </c>
      <c r="AJ456" s="145">
        <f>IF(Y456=[15]Listas!$G$55,AJ455-(AJ455*AB456),AJ455)</f>
        <v>0.6</v>
      </c>
      <c r="AK456" s="562"/>
      <c r="AL456" s="565"/>
      <c r="AM456" s="565"/>
      <c r="AN456" s="565"/>
      <c r="AO456" s="568"/>
      <c r="AP456" s="571"/>
      <c r="AQ456" s="343"/>
      <c r="AR456" s="191"/>
    </row>
    <row r="457" spans="2:44" ht="15.75" hidden="1" customHeight="1" thickTop="1" x14ac:dyDescent="0.35">
      <c r="B457" s="537"/>
      <c r="C457" s="559"/>
      <c r="D457" s="574"/>
      <c r="E457" s="577"/>
      <c r="F457" s="625"/>
      <c r="G457" s="628"/>
      <c r="H457" s="628"/>
      <c r="I457" s="589"/>
      <c r="J457" s="589"/>
      <c r="K457" s="592"/>
      <c r="L457" s="589"/>
      <c r="M457" s="595"/>
      <c r="N457" s="598"/>
      <c r="O457" s="601"/>
      <c r="P457" s="595"/>
      <c r="Q457" s="604"/>
      <c r="R457" s="601"/>
      <c r="S457" s="288"/>
      <c r="T457" s="604"/>
      <c r="U457" s="142" t="s">
        <v>208</v>
      </c>
      <c r="V457" s="415"/>
      <c r="W457" s="331"/>
      <c r="X457" s="320" t="str">
        <f>IF(W457=[15]Listas!$B$46,[15]Listas!$C$46,IF(W457=[15]Listas!$B$47,[15]Listas!$C$47,IF(W457=[15]Listas!$B$48,[15]Listas!$C$48,"")))</f>
        <v/>
      </c>
      <c r="Y457" s="321" t="str">
        <f>IF(OR(W457=[15]Listas!$F$53,W457=[15]Listas!$F$54),[15]Listas!$G$53,IF(W457=[15]Listas!$F$55,[15]Listas!$G$55,""))</f>
        <v/>
      </c>
      <c r="Z457" s="331"/>
      <c r="AA457" s="182" t="str">
        <f>+IF(Z457=[15]Listas!$E$46,[15]Listas!$F$46,IF(Z457=[15]Listas!$E$47,[15]Listas!$F$47,""))</f>
        <v/>
      </c>
      <c r="AB457" s="183" t="str">
        <f t="shared" si="69"/>
        <v/>
      </c>
      <c r="AC457" s="319"/>
      <c r="AD457" s="319"/>
      <c r="AE457" s="323"/>
      <c r="AF457" s="305" t="str">
        <f t="shared" si="60"/>
        <v>Muy baja</v>
      </c>
      <c r="AG457" s="145">
        <f>IF(Y457=[15]Listas!$G$53,AG456-(AG456*AB457),AG456)</f>
        <v>0.1512</v>
      </c>
      <c r="AH457" s="562"/>
      <c r="AI457" s="305" t="str">
        <f t="shared" si="67"/>
        <v>Moderado</v>
      </c>
      <c r="AJ457" s="145">
        <f>IF(Y457=[15]Listas!$G$55,AJ456-(AJ456*AB457),AJ456)</f>
        <v>0.6</v>
      </c>
      <c r="AK457" s="562"/>
      <c r="AL457" s="565"/>
      <c r="AM457" s="565"/>
      <c r="AN457" s="565"/>
      <c r="AO457" s="568"/>
      <c r="AP457" s="571"/>
      <c r="AQ457" s="344"/>
      <c r="AR457" s="191"/>
    </row>
    <row r="458" spans="2:44" ht="15" hidden="1" customHeight="1" thickTop="1" x14ac:dyDescent="0.35">
      <c r="B458" s="537"/>
      <c r="C458" s="559"/>
      <c r="D458" s="574"/>
      <c r="E458" s="577"/>
      <c r="F458" s="625"/>
      <c r="G458" s="628"/>
      <c r="H458" s="628"/>
      <c r="I458" s="589"/>
      <c r="J458" s="589"/>
      <c r="K458" s="592"/>
      <c r="L458" s="589"/>
      <c r="M458" s="595"/>
      <c r="N458" s="598"/>
      <c r="O458" s="601"/>
      <c r="P458" s="595"/>
      <c r="Q458" s="604"/>
      <c r="R458" s="601"/>
      <c r="S458" s="289"/>
      <c r="T458" s="604"/>
      <c r="U458" s="142" t="s">
        <v>215</v>
      </c>
      <c r="V458" s="418"/>
      <c r="W458" s="331"/>
      <c r="X458" s="320" t="str">
        <f>IF(W458=[15]Listas!$B$46,[15]Listas!$C$46,IF(W458=[15]Listas!$B$47,[15]Listas!$C$47,IF(W458=[15]Listas!$B$48,[15]Listas!$C$48,"")))</f>
        <v/>
      </c>
      <c r="Y458" s="321" t="str">
        <f>IF(OR(W458=[15]Listas!$F$53,W458=[15]Listas!$F$54),[15]Listas!$G$53,IF(W458=[15]Listas!$F$55,[15]Listas!$G$55,""))</f>
        <v/>
      </c>
      <c r="Z458" s="331"/>
      <c r="AA458" s="182" t="str">
        <f>+IF(Z458=[15]Listas!$E$46,[15]Listas!$F$46,IF(Z458=[15]Listas!$E$47,[15]Listas!$F$47,""))</f>
        <v/>
      </c>
      <c r="AB458" s="183" t="str">
        <f t="shared" si="69"/>
        <v/>
      </c>
      <c r="AC458" s="319"/>
      <c r="AD458" s="322"/>
      <c r="AE458" s="323"/>
      <c r="AF458" s="305" t="str">
        <f t="shared" si="60"/>
        <v>Muy baja</v>
      </c>
      <c r="AG458" s="145">
        <f>IF(Y458=[15]Listas!$G$53,AG457-(AG457*AB458),AG457)</f>
        <v>0.1512</v>
      </c>
      <c r="AH458" s="562"/>
      <c r="AI458" s="305" t="str">
        <f t="shared" si="67"/>
        <v>Moderado</v>
      </c>
      <c r="AJ458" s="145">
        <f>IF(Y458=[15]Listas!$G$55,AJ457-(AJ457*AB458),AJ457)</f>
        <v>0.6</v>
      </c>
      <c r="AK458" s="562"/>
      <c r="AL458" s="565"/>
      <c r="AM458" s="565"/>
      <c r="AN458" s="565"/>
      <c r="AO458" s="568"/>
      <c r="AP458" s="571"/>
      <c r="AQ458" s="345"/>
      <c r="AR458" s="191"/>
    </row>
    <row r="459" spans="2:44" ht="15" hidden="1" customHeight="1" thickTop="1" x14ac:dyDescent="0.35">
      <c r="B459" s="537"/>
      <c r="C459" s="559"/>
      <c r="D459" s="574"/>
      <c r="E459" s="577"/>
      <c r="F459" s="625"/>
      <c r="G459" s="628"/>
      <c r="H459" s="628"/>
      <c r="I459" s="589"/>
      <c r="J459" s="589"/>
      <c r="K459" s="592"/>
      <c r="L459" s="589"/>
      <c r="M459" s="595"/>
      <c r="N459" s="598"/>
      <c r="O459" s="601"/>
      <c r="P459" s="595"/>
      <c r="Q459" s="604"/>
      <c r="R459" s="601"/>
      <c r="S459" s="289"/>
      <c r="T459" s="604"/>
      <c r="U459" s="142" t="s">
        <v>220</v>
      </c>
      <c r="V459" s="418"/>
      <c r="W459" s="331"/>
      <c r="X459" s="320" t="str">
        <f>IF(W459=[15]Listas!$B$46,[15]Listas!$C$46,IF(W459=[15]Listas!$B$47,[15]Listas!$C$47,IF(W459=[15]Listas!$B$48,[15]Listas!$C$48,"")))</f>
        <v/>
      </c>
      <c r="Y459" s="321" t="str">
        <f>IF(OR(W459=[15]Listas!$F$53,W459=[15]Listas!$F$54),[15]Listas!$G$53,IF(W459=[15]Listas!$F$55,[15]Listas!$G$55,""))</f>
        <v/>
      </c>
      <c r="Z459" s="331"/>
      <c r="AA459" s="182" t="str">
        <f>+IF(Z459=[15]Listas!$E$46,[15]Listas!$F$46,IF(Z459=[15]Listas!$E$47,[15]Listas!$F$47,""))</f>
        <v/>
      </c>
      <c r="AB459" s="183" t="str">
        <f t="shared" si="69"/>
        <v/>
      </c>
      <c r="AC459" s="319"/>
      <c r="AD459" s="322"/>
      <c r="AE459" s="323"/>
      <c r="AF459" s="305" t="str">
        <f t="shared" si="60"/>
        <v>Muy baja</v>
      </c>
      <c r="AG459" s="145">
        <f>IF(Y459=[15]Listas!$G$53,AG458-(AG458*AB459),AG458)</f>
        <v>0.1512</v>
      </c>
      <c r="AH459" s="562"/>
      <c r="AI459" s="305" t="str">
        <f t="shared" si="67"/>
        <v>Moderado</v>
      </c>
      <c r="AJ459" s="145">
        <f>IF(Y459=[15]Listas!$G$55,AJ458-(AJ458*AB459),AJ458)</f>
        <v>0.6</v>
      </c>
      <c r="AK459" s="562"/>
      <c r="AL459" s="565"/>
      <c r="AM459" s="565"/>
      <c r="AN459" s="565"/>
      <c r="AO459" s="568"/>
      <c r="AP459" s="571"/>
      <c r="AQ459" s="343"/>
      <c r="AR459" s="191"/>
    </row>
    <row r="460" spans="2:44" ht="15" hidden="1" customHeight="1" thickTop="1" x14ac:dyDescent="0.35">
      <c r="B460" s="537"/>
      <c r="C460" s="559"/>
      <c r="D460" s="574"/>
      <c r="E460" s="577"/>
      <c r="F460" s="625"/>
      <c r="G460" s="628"/>
      <c r="H460" s="628"/>
      <c r="I460" s="589"/>
      <c r="J460" s="589"/>
      <c r="K460" s="592"/>
      <c r="L460" s="589"/>
      <c r="M460" s="595"/>
      <c r="N460" s="598"/>
      <c r="O460" s="601"/>
      <c r="P460" s="595"/>
      <c r="Q460" s="604"/>
      <c r="R460" s="601"/>
      <c r="S460" s="289"/>
      <c r="T460" s="604"/>
      <c r="U460" s="142" t="s">
        <v>223</v>
      </c>
      <c r="V460" s="418"/>
      <c r="W460" s="331"/>
      <c r="X460" s="320" t="str">
        <f>IF(W460=[15]Listas!$B$46,[15]Listas!$C$46,IF(W460=[15]Listas!$B$47,[15]Listas!$C$47,IF(W460=[15]Listas!$B$48,[15]Listas!$C$48,"")))</f>
        <v/>
      </c>
      <c r="Y460" s="321" t="str">
        <f>IF(OR(W460=[15]Listas!$F$53,W460=[15]Listas!$F$54),[15]Listas!$G$53,IF(W460=[15]Listas!$F$55,[15]Listas!$G$55,""))</f>
        <v/>
      </c>
      <c r="Z460" s="331"/>
      <c r="AA460" s="182" t="str">
        <f>+IF(Z460=[15]Listas!$E$46,[15]Listas!$F$46,IF(Z460=[15]Listas!$E$47,[15]Listas!$F$47,""))</f>
        <v/>
      </c>
      <c r="AB460" s="183" t="str">
        <f t="shared" si="69"/>
        <v/>
      </c>
      <c r="AC460" s="319"/>
      <c r="AD460" s="322"/>
      <c r="AE460" s="323"/>
      <c r="AF460" s="305" t="str">
        <f t="shared" ref="AF460:AF523" si="70">IF(AG460="","",IF(AG460&lt;=20%,"Muy baja",IF(AG460&lt;=40%,"Baja",IF(AG460&lt;=60%,"Media",IF(AG460&lt;=80%,"Alta","Muy alta")))))</f>
        <v>Muy baja</v>
      </c>
      <c r="AG460" s="145">
        <f>IF(Y460=[15]Listas!$G$53,AG459-(AG459*AB460),AG459)</f>
        <v>0.1512</v>
      </c>
      <c r="AH460" s="562"/>
      <c r="AI460" s="305" t="str">
        <f t="shared" si="67"/>
        <v>Moderado</v>
      </c>
      <c r="AJ460" s="145">
        <f>IF(Y460=[15]Listas!$G$55,AJ459-(AJ459*AB460),AJ459)</f>
        <v>0.6</v>
      </c>
      <c r="AK460" s="562"/>
      <c r="AL460" s="565"/>
      <c r="AM460" s="565"/>
      <c r="AN460" s="565"/>
      <c r="AO460" s="568"/>
      <c r="AP460" s="571"/>
      <c r="AQ460" s="344"/>
      <c r="AR460" s="191"/>
    </row>
    <row r="461" spans="2:44" ht="15.75" hidden="1" customHeight="1" thickTop="1" x14ac:dyDescent="0.35">
      <c r="B461" s="537"/>
      <c r="C461" s="559"/>
      <c r="D461" s="575"/>
      <c r="E461" s="578"/>
      <c r="F461" s="626"/>
      <c r="G461" s="629"/>
      <c r="H461" s="629"/>
      <c r="I461" s="590"/>
      <c r="J461" s="590"/>
      <c r="K461" s="593"/>
      <c r="L461" s="590"/>
      <c r="M461" s="596"/>
      <c r="N461" s="599"/>
      <c r="O461" s="602"/>
      <c r="P461" s="596"/>
      <c r="Q461" s="605"/>
      <c r="R461" s="602"/>
      <c r="S461" s="293"/>
      <c r="T461" s="605"/>
      <c r="U461" s="202" t="s">
        <v>224</v>
      </c>
      <c r="V461" s="416"/>
      <c r="W461" s="335"/>
      <c r="X461" s="336" t="str">
        <f>IF(W461=[15]Listas!$B$46,[15]Listas!$C$46,IF(W461=[15]Listas!$B$47,[15]Listas!$C$47,IF(W461=[15]Listas!$B$48,[15]Listas!$C$48,"")))</f>
        <v/>
      </c>
      <c r="Y461" s="337" t="str">
        <f>IF(OR(W461=[15]Listas!$F$53,W461=[15]Listas!$F$54),[15]Listas!$G$53,IF(W461=[15]Listas!$F$55,[15]Listas!$G$55,""))</f>
        <v/>
      </c>
      <c r="Z461" s="335"/>
      <c r="AA461" s="186" t="str">
        <f>+IF(Z461=[15]Listas!$E$46,[15]Listas!$F$46,IF(Z461=[15]Listas!$E$47,[15]Listas!$F$47,""))</f>
        <v/>
      </c>
      <c r="AB461" s="187" t="str">
        <f t="shared" si="69"/>
        <v/>
      </c>
      <c r="AC461" s="338"/>
      <c r="AD461" s="339"/>
      <c r="AE461" s="340"/>
      <c r="AF461" s="311" t="str">
        <f t="shared" si="70"/>
        <v>Muy baja</v>
      </c>
      <c r="AG461" s="179">
        <f>IF(Y461=[15]Listas!$G$53,AG460-(AG460*AB461),AG460)</f>
        <v>0.1512</v>
      </c>
      <c r="AH461" s="563"/>
      <c r="AI461" s="311" t="str">
        <f t="shared" si="67"/>
        <v>Moderado</v>
      </c>
      <c r="AJ461" s="179">
        <f>IF(Y461=[15]Listas!$G$55,AJ460-(AJ460*AB461),AJ460)</f>
        <v>0.6</v>
      </c>
      <c r="AK461" s="563"/>
      <c r="AL461" s="566"/>
      <c r="AM461" s="566"/>
      <c r="AN461" s="566"/>
      <c r="AO461" s="569"/>
      <c r="AP461" s="572"/>
      <c r="AQ461" s="346"/>
      <c r="AR461" s="192"/>
    </row>
    <row r="462" spans="2:44" ht="169" thickTop="1" thickBot="1" x14ac:dyDescent="0.4">
      <c r="B462" s="537"/>
      <c r="C462" s="559"/>
      <c r="D462" s="573" t="s">
        <v>627</v>
      </c>
      <c r="E462" s="576" t="s">
        <v>4</v>
      </c>
      <c r="F462" s="624" t="s">
        <v>628</v>
      </c>
      <c r="G462" s="627" t="s">
        <v>629</v>
      </c>
      <c r="H462" s="627" t="s">
        <v>630</v>
      </c>
      <c r="I462" s="588" t="s">
        <v>20</v>
      </c>
      <c r="J462" s="588" t="s">
        <v>22</v>
      </c>
      <c r="K462" s="591"/>
      <c r="L462" s="588" t="s">
        <v>168</v>
      </c>
      <c r="M462" s="594" t="s">
        <v>169</v>
      </c>
      <c r="N462" s="597" t="str">
        <f>+IF(M462="","",IF(M462=$BO$15,$BN$15,IF(M462=$BO$16,$BN$16,IF(M462=$BO$17,$BN$17,IF(M462=$BO$18,$BN$18,IF(M462=$BO$19,$BN$19))))))</f>
        <v>Alta</v>
      </c>
      <c r="O462" s="600">
        <f>+IF(M462="","",IF(M462=$BO$15,$BR$15,IF(M462=$BO$16,$BR$16,IF(M462=$BO$17,$BR$17,IF(M462=$BO$18,$BR$18,IF(M462=$BO$19,$BR$19))))))</f>
        <v>0.8</v>
      </c>
      <c r="P462" s="594" t="s">
        <v>212</v>
      </c>
      <c r="Q462" s="603" t="str">
        <f>+IF(P462="","",IF(P462='[15]Mapa de Calor inherente'!$AF$6,'[15]Mapa de Calor inherente'!$AD$6,IF(P462='[15]Mapa de Calor inherente'!$AF$7,'[15]Mapa de Calor inherente'!$AD$7,IF(P462='[15]Mapa de Calor inherente'!$AF$8,'[15]Mapa de Calor inherente'!$AD$8,IF(P462='[15]Mapa de Calor inherente'!$AF$9,'[15]Mapa de Calor inherente'!$AD$9,IF(P462='[15]Mapa de Calor inherente'!$AF$10,'[15]Mapa de Calor inherente'!$AD$10,IF(P462='[15]Mapa de Calor inherente'!$AG$6,'[15]Mapa de Calor inherente'!$AD$6,IF(P462='[15]Mapa de Calor inherente'!$AG$7,'[15]Mapa de Calor inherente'!$AD$7,IF(P462='[15]Mapa de Calor inherente'!$AG$8,'[15]Mapa de Calor inherente'!$AD$8,IF(P462='[15]Mapa de Calor inherente'!$AG$9,'[15]Mapa de Calor inherente'!$AD$9,IF(P462='[15]Mapa de Calor inherente'!$AG$10,'[15]Mapa de Calor inherente'!$AD$10,IF(P462='[15]Mapa de Calor inherente'!$AD$8,'[15]Mapa de Calor inherente'!$AD$8,IF(P462='[15]Mapa de Calor inherente'!$AD$9,'[15]Mapa de Calor inherente'!$AD$9,IF(P462='[15]Mapa de Calor inherente'!$AD$10,'[15]Mapa de Calor inherente'!$AD$10))))))))))))))</f>
        <v>Moderado</v>
      </c>
      <c r="R462" s="600">
        <f>+IF(P462="","",IF(P462='[15]Mapa de Calor inherente'!$AF$6,'[15]Mapa de Calor inherente'!$AE$6,IF(P462='[15]Mapa de Calor inherente'!$AF$7,'[15]Mapa de Calor inherente'!$AE$7,IF(P462='[15]Mapa de Calor inherente'!$AF$8,'[15]Mapa de Calor inherente'!$AE$8,IF(P462='[15]Mapa de Calor inherente'!$AF$9,'[15]Mapa de Calor inherente'!$AE$9,IF(P462='[15]Mapa de Calor inherente'!$AF$10,'[15]Mapa de Calor inherente'!$AE$10,IF(P462='[15]Mapa de Calor inherente'!$AG$6,'[15]Mapa de Calor inherente'!$AE$6,IF(P462='[15]Mapa de Calor inherente'!$AG$7,'[15]Mapa de Calor inherente'!$AE$7,IF(P462='[15]Mapa de Calor inherente'!$AG$8,'[15]Mapa de Calor inherente'!$AE$8,IF(P462='[15]Mapa de Calor inherente'!$AG$9,'[15]Mapa de Calor inherente'!$AE$9,IF(P462='[15]Mapa de Calor inherente'!$AG$10,'[15]Mapa de Calor inherente'!$AE$10,IF(P462='[15]Mapa de Calor inherente'!$AD$8,'[15]Mapa de Calor inherente'!$AE$8,IF(P462='[15]Mapa de Calor inherente'!$AD$9,'[15]Mapa de Calor inherente'!$AE$9,IF(P462='[15]Mapa de Calor inherente'!$AD$10,'[15]Mapa de Calor inherente'!$AE$10))))))))))))))</f>
        <v>0.6</v>
      </c>
      <c r="S462" s="292"/>
      <c r="T462" s="603" t="str">
        <f>+IF(N462=$BB$17,IF(Q462=$BC$16,$BC$17,IF(Q462=$BD$16,$BD$17,IF(Q462=$BE$16,$BE$17,IF(Q462=$BF$16,$BF$17,IF(Q462=$BG$16,$BG$17))))),IF(N462=$BB$18,IF(Q462=$BC$16,$BC$18,IF(Q462=$BD$16,$BD$18,IF(Q462=$BE$16,$BE$18,IF(Q462=$BF$16,$BF$18,IF(Q462=$BG$16,$BG$18))))),IF(N462=$BB$19,IF(Q462=$BC$16,$BC$19,IF(Q462=$BD$16,$BD$19,IF(Q462=$BE$16,$BE$19,IF(Q462=$BF$16,$BF$19,IF(Q462=$BG$16,$BG$19))))),IF(N462=$BB$20,IF(Q462=$BC$16,$BC$20,IF(Q462=$BD$16,$BD$20,IF(Q462=$BE$16,$BE$20,IF(Q462=$BF$16,$BF$20,IF(Q462=$BG$16,$BG$20))))),IF(N462=$BB$21,IF(Q462=$BC$16,$BC$21,IF(Q462=$BD$16,$BD$21,IF(Q462=$BE$16,$BE$21,IF(Q462=$BF$16,$BF$21,IF(Q462=$BG$16,$BG$21))))),"")))))</f>
        <v>Alto</v>
      </c>
      <c r="U462" s="139" t="s">
        <v>171</v>
      </c>
      <c r="V462" s="455" t="s">
        <v>631</v>
      </c>
      <c r="W462" s="313" t="s">
        <v>40</v>
      </c>
      <c r="X462" s="314">
        <f>IF(W462=[15]Listas!$B$46,[15]Listas!$C$46,IF(W462=[15]Listas!$B$47,[15]Listas!$C$47,IF(W462=[15]Listas!$B$48,[15]Listas!$C$48,"")))</f>
        <v>0.25</v>
      </c>
      <c r="Y462" s="315" t="str">
        <f>IF(OR(W462=[15]Listas!$F$53,W462=[15]Listas!$F$54),[15]Listas!$G$53,IF(W462=[15]Listas!$F$55,[15]Listas!$G$55,""))</f>
        <v>Probabilidad</v>
      </c>
      <c r="Z462" s="313" t="s">
        <v>43</v>
      </c>
      <c r="AA462" s="314">
        <f>+IF(Z462=[15]Listas!$E$46,[15]Listas!$F$46,IF(Z462=[15]Listas!$E$47,[15]Listas!$F$47,""))</f>
        <v>0.15</v>
      </c>
      <c r="AB462" s="181">
        <f>IFERROR(X462+AA462,"")</f>
        <v>0.4</v>
      </c>
      <c r="AC462" s="313" t="s">
        <v>57</v>
      </c>
      <c r="AD462" s="316" t="s">
        <v>58</v>
      </c>
      <c r="AE462" s="317" t="s">
        <v>59</v>
      </c>
      <c r="AF462" s="299" t="str">
        <f t="shared" si="70"/>
        <v>Media</v>
      </c>
      <c r="AG462" s="141">
        <f>IF(Y462=[15]Listas!$G$53,O462-(O462*AB462),O462)</f>
        <v>0.48</v>
      </c>
      <c r="AH462" s="561">
        <f>+IF(AG471="","",AG471)</f>
        <v>0.28799999999999998</v>
      </c>
      <c r="AI462" s="299" t="str">
        <f>IF(AJ462="","",IF(AJ462&lt;=20%,"Leve",IF(AJ462&lt;=40%,"Menor",IF(AJ462&lt;=60%,"Moderado",IF(AJ462&lt;=80%,"Mayor","Catastrófico")))))</f>
        <v>Moderado</v>
      </c>
      <c r="AJ462" s="141">
        <f>IF(Y462=[15]Listas!$G$55,R462-(R462*AB462),R462)</f>
        <v>0.6</v>
      </c>
      <c r="AK462" s="561">
        <f>+IF(AJ471="","",AJ471)</f>
        <v>0.6</v>
      </c>
      <c r="AL462" s="564" t="str">
        <f>+IF(AH462=0,"",IF(AH462&lt;=$BA$21,$BB$21,IF(AH462&lt;=$BA$20,$BB$20,IF(AH462&lt;=$BA$19,$BB$19,IF(AH462&lt;=$BA$18,$BB$18,IF(AH462&lt;=$BA$17,$BB$17,""))))))</f>
        <v>Baja</v>
      </c>
      <c r="AM462" s="564" t="str">
        <f>+IF(AK462=0,"",IF(AK462&lt;=$BC$15,$BC$16,IF(AK462&lt;=$BD$15,$BD$16,IF(AK462&lt;=$BE$15,$BE$16,IF(AK462&lt;=$BF$15,$BF$16,IF(AK462&lt;=$BG$15,$BG$16,""))))))</f>
        <v>Moderado</v>
      </c>
      <c r="AN462" s="564" t="str">
        <f>IF(AL462=$BB$17,IF(AM462=$BC$16,$BC$17,IF(AM462=$BD$16,$BD$17,IF(AM462=$BE$16,$BE$17,IF(AM462=$BF$16,$BF$17,IF(AM462=$BG$16,$BG$17))))),IF(AL462=$BB$18,IF(AM462=$BC$16,$BC$18,IF(AM462=$BD$16,$BD$18,IF(AM462=$BE$16,$BE$18,IF(AM462=$BF$16,$BF$18,IF(AM462=$BG$16,$BG$18))))),IF(AL462=$BB$19,IF(AM462=$BC$16,$BC$19,IF(AM462=$BD$16,$BD$19,IF(AM462=$BE$16,$BE$19,IF(AM462=$BF$16,$BF$19,IF(AM462=$BG$16,$BG$19))))),IF(AL462=$BB$20,IF(AM462=$BC$16,$BC$20,IF(AM462=$BD$16,$BD$20,IF(AM462=$BE$16,$BE$20,IF(AM462=$BF$16,$BF$20,IF(AM462=$BG$16,$BG$20))))),IF(AL462=$BB$21,IF(AM462=$BC$16,$BC$21,IF(AM462=$BD$16,$BD$21,IF(AM462=$BE$16,$BE$21,IF(AM462=$BF$16,$BF$21,IF(AM462=$BG$16,$BG$21))))),"")))))</f>
        <v>Moderado</v>
      </c>
      <c r="AO462" s="567" t="str">
        <f>IF(AP462="","",IF(AP462=[15]Listas!$F$61,[15]Listas!$G$61,IF(AP462=[15]Listas!$F$63,[15]Listas!$G$63,IF(AP462=[15]Listas!$F$64,[15]Listas!$G$64))))</f>
        <v>Requiere Plan de Acción</v>
      </c>
      <c r="AP462" s="570" t="str">
        <f>IF(AN462="","",IF(OR(AN462=[15]Listas!$E$61,AN462=[15]Listas!$E$62),[15]Listas!$F$61,IF(AN462=[15]Listas!$E$63,[15]Listas!$F$63,IF(AN462=[15]Listas!$E$64,[15]Listas!$F$64))))</f>
        <v>Aceptar o reducir el riesgo</v>
      </c>
      <c r="AQ462" s="342" t="s">
        <v>82</v>
      </c>
      <c r="AR462" s="116" t="s">
        <v>632</v>
      </c>
    </row>
    <row r="463" spans="2:44" ht="113" thickTop="1" thickBot="1" x14ac:dyDescent="0.4">
      <c r="B463" s="537"/>
      <c r="C463" s="559"/>
      <c r="D463" s="574"/>
      <c r="E463" s="577"/>
      <c r="F463" s="625"/>
      <c r="G463" s="628"/>
      <c r="H463" s="628"/>
      <c r="I463" s="589"/>
      <c r="J463" s="589"/>
      <c r="K463" s="592"/>
      <c r="L463" s="589"/>
      <c r="M463" s="595"/>
      <c r="N463" s="598"/>
      <c r="O463" s="601"/>
      <c r="P463" s="595"/>
      <c r="Q463" s="604"/>
      <c r="R463" s="601"/>
      <c r="S463" s="286"/>
      <c r="T463" s="604"/>
      <c r="U463" s="142" t="s">
        <v>174</v>
      </c>
      <c r="V463" s="415" t="s">
        <v>633</v>
      </c>
      <c r="W463" s="319" t="s">
        <v>40</v>
      </c>
      <c r="X463" s="320">
        <f>IF(W463=[15]Listas!$B$46,[15]Listas!$C$46,IF(W463=[15]Listas!$B$47,[15]Listas!$C$47,IF(W463=[15]Listas!$B$48,[15]Listas!$C$48,"")))</f>
        <v>0.25</v>
      </c>
      <c r="Y463" s="321" t="str">
        <f>IF(OR(W463=[15]Listas!$F$53,W463=[15]Listas!$F$54),[15]Listas!$G$53,IF(W463=[15]Listas!$F$55,[15]Listas!$G$55,""))</f>
        <v>Probabilidad</v>
      </c>
      <c r="Z463" s="319" t="s">
        <v>43</v>
      </c>
      <c r="AA463" s="182">
        <f>+IF(Z463=[15]Listas!$E$46,[15]Listas!$F$46,IF(Z463=[15]Listas!$E$47,[15]Listas!$F$47,""))</f>
        <v>0.15</v>
      </c>
      <c r="AB463" s="183">
        <f>IFERROR(X463+AA463,"")</f>
        <v>0.4</v>
      </c>
      <c r="AC463" s="319" t="s">
        <v>57</v>
      </c>
      <c r="AD463" s="322" t="s">
        <v>58</v>
      </c>
      <c r="AE463" s="323" t="s">
        <v>59</v>
      </c>
      <c r="AF463" s="305" t="str">
        <f t="shared" si="70"/>
        <v>Baja</v>
      </c>
      <c r="AG463" s="145">
        <f>IF(Y463=[15]Listas!$G$53,AG462-(AG462*AB463),AG462)</f>
        <v>0.28799999999999998</v>
      </c>
      <c r="AH463" s="562"/>
      <c r="AI463" s="305" t="str">
        <f t="shared" si="67"/>
        <v>Moderado</v>
      </c>
      <c r="AJ463" s="145">
        <f>IF(Y463=[15]Listas!$G$55,AJ462-(AJ462*AB463),AJ462)</f>
        <v>0.6</v>
      </c>
      <c r="AK463" s="562"/>
      <c r="AL463" s="565"/>
      <c r="AM463" s="565"/>
      <c r="AN463" s="565"/>
      <c r="AO463" s="568"/>
      <c r="AP463" s="571"/>
      <c r="AQ463" s="344" t="s">
        <v>80</v>
      </c>
      <c r="AR463" s="117" t="s">
        <v>634</v>
      </c>
    </row>
    <row r="464" spans="2:44" ht="57" thickTop="1" thickBot="1" x14ac:dyDescent="0.4">
      <c r="B464" s="537"/>
      <c r="C464" s="559"/>
      <c r="D464" s="574"/>
      <c r="E464" s="577"/>
      <c r="F464" s="625"/>
      <c r="G464" s="628"/>
      <c r="H464" s="628"/>
      <c r="I464" s="589"/>
      <c r="J464" s="589"/>
      <c r="K464" s="592"/>
      <c r="L464" s="589"/>
      <c r="M464" s="595"/>
      <c r="N464" s="598"/>
      <c r="O464" s="601"/>
      <c r="P464" s="595"/>
      <c r="Q464" s="604"/>
      <c r="R464" s="601"/>
      <c r="S464" s="287"/>
      <c r="T464" s="604"/>
      <c r="U464" s="142" t="s">
        <v>180</v>
      </c>
      <c r="V464" s="415"/>
      <c r="W464" s="319"/>
      <c r="X464" s="320" t="str">
        <f>IF(W464=[15]Listas!$B$46,[15]Listas!$C$46,IF(W464=[15]Listas!$B$47,[15]Listas!$C$47,IF(W464=[15]Listas!$B$48,[15]Listas!$C$48,"")))</f>
        <v/>
      </c>
      <c r="Y464" s="321" t="str">
        <f>IF(OR(W464=[15]Listas!$F$53,W464=[15]Listas!$F$54),[15]Listas!$G$53,IF(W464=[15]Listas!$F$55,[15]Listas!$G$55,""))</f>
        <v/>
      </c>
      <c r="Z464" s="319"/>
      <c r="AA464" s="182" t="str">
        <f>+IF(Z464=[15]Listas!$E$46,[15]Listas!$F$46,IF(Z464=[15]Listas!$E$47,[15]Listas!$F$47,""))</f>
        <v/>
      </c>
      <c r="AB464" s="183" t="str">
        <f>IFERROR(X464+AA464,"")</f>
        <v/>
      </c>
      <c r="AC464" s="319"/>
      <c r="AD464" s="322"/>
      <c r="AE464" s="323"/>
      <c r="AF464" s="305" t="str">
        <f t="shared" si="70"/>
        <v>Baja</v>
      </c>
      <c r="AG464" s="145">
        <f>IF(Y464=[15]Listas!$G$53,AG463-(AG463*AB464),AG463)</f>
        <v>0.28799999999999998</v>
      </c>
      <c r="AH464" s="562"/>
      <c r="AI464" s="305" t="str">
        <f t="shared" si="67"/>
        <v>Moderado</v>
      </c>
      <c r="AJ464" s="145">
        <f>IF(Y464=[15]Listas!$G$55,AJ463-(AJ463*AB464),AJ463)</f>
        <v>0.6</v>
      </c>
      <c r="AK464" s="562"/>
      <c r="AL464" s="565"/>
      <c r="AM464" s="565"/>
      <c r="AN464" s="565"/>
      <c r="AO464" s="568"/>
      <c r="AP464" s="571"/>
      <c r="AQ464" s="344" t="s">
        <v>90</v>
      </c>
      <c r="AR464" s="180" t="s">
        <v>635</v>
      </c>
    </row>
    <row r="465" spans="2:44" ht="15.65" hidden="1" customHeight="1" x14ac:dyDescent="0.35">
      <c r="B465" s="537"/>
      <c r="C465" s="559"/>
      <c r="D465" s="574"/>
      <c r="E465" s="577"/>
      <c r="F465" s="625"/>
      <c r="G465" s="628"/>
      <c r="H465" s="628"/>
      <c r="I465" s="589"/>
      <c r="J465" s="589"/>
      <c r="K465" s="592"/>
      <c r="L465" s="589"/>
      <c r="M465" s="595"/>
      <c r="N465" s="598"/>
      <c r="O465" s="601"/>
      <c r="P465" s="595"/>
      <c r="Q465" s="604"/>
      <c r="R465" s="601"/>
      <c r="S465" s="287"/>
      <c r="T465" s="604"/>
      <c r="U465" s="142" t="s">
        <v>190</v>
      </c>
      <c r="V465" s="415"/>
      <c r="W465" s="319"/>
      <c r="X465" s="320" t="str">
        <f>IF(W465=[15]Listas!$B$46,[15]Listas!$C$46,IF(W465=[15]Listas!$B$47,[15]Listas!$C$47,IF(W465=[15]Listas!$B$48,[15]Listas!$C$48,"")))</f>
        <v/>
      </c>
      <c r="Y465" s="321" t="str">
        <f>IF(OR(W465=[15]Listas!$F$53,W465=[15]Listas!$F$54),[15]Listas!$G$53,IF(W465=[15]Listas!$F$55,[15]Listas!$G$55,""))</f>
        <v/>
      </c>
      <c r="Z465" s="319"/>
      <c r="AA465" s="182" t="str">
        <f>+IF(Z465=[15]Listas!$E$46,[15]Listas!$F$46,IF(Z465=[15]Listas!$E$47,[15]Listas!$F$47,""))</f>
        <v/>
      </c>
      <c r="AB465" s="183" t="str">
        <f t="shared" ref="AB465:AB471" si="71">IFERROR(X465+AA465,"")</f>
        <v/>
      </c>
      <c r="AC465" s="319"/>
      <c r="AD465" s="322"/>
      <c r="AE465" s="323"/>
      <c r="AF465" s="305" t="str">
        <f t="shared" si="70"/>
        <v>Baja</v>
      </c>
      <c r="AG465" s="145">
        <f>IF(Y465=[15]Listas!$G$53,AG464-(AG464*AB465),AG464)</f>
        <v>0.28799999999999998</v>
      </c>
      <c r="AH465" s="562"/>
      <c r="AI465" s="305" t="str">
        <f t="shared" si="67"/>
        <v>Moderado</v>
      </c>
      <c r="AJ465" s="145">
        <f>IF(Y465=[15]Listas!$G$55,AJ464-(AJ464*AB465),AJ464)</f>
        <v>0.6</v>
      </c>
      <c r="AK465" s="562"/>
      <c r="AL465" s="565"/>
      <c r="AM465" s="565"/>
      <c r="AN465" s="565"/>
      <c r="AO465" s="568"/>
      <c r="AP465" s="571"/>
      <c r="AQ465" s="344"/>
      <c r="AR465" s="191"/>
    </row>
    <row r="466" spans="2:44" ht="15.65" hidden="1" customHeight="1" thickTop="1" x14ac:dyDescent="0.35">
      <c r="B466" s="537"/>
      <c r="C466" s="559"/>
      <c r="D466" s="574"/>
      <c r="E466" s="577"/>
      <c r="F466" s="625"/>
      <c r="G466" s="628"/>
      <c r="H466" s="628"/>
      <c r="I466" s="589"/>
      <c r="J466" s="589"/>
      <c r="K466" s="592"/>
      <c r="L466" s="589"/>
      <c r="M466" s="595"/>
      <c r="N466" s="598"/>
      <c r="O466" s="601"/>
      <c r="P466" s="595"/>
      <c r="Q466" s="604"/>
      <c r="R466" s="601"/>
      <c r="S466" s="287"/>
      <c r="T466" s="604"/>
      <c r="U466" s="142" t="s">
        <v>198</v>
      </c>
      <c r="V466" s="415"/>
      <c r="W466" s="319"/>
      <c r="X466" s="320" t="str">
        <f>IF(W466=[15]Listas!$B$46,[15]Listas!$C$46,IF(W466=[15]Listas!$B$47,[15]Listas!$C$47,IF(W466=[15]Listas!$B$48,[15]Listas!$C$48,"")))</f>
        <v/>
      </c>
      <c r="Y466" s="321" t="str">
        <f>IF(OR(W466=[15]Listas!$F$53,W466=[15]Listas!$F$54),[15]Listas!$G$53,IF(W466=[15]Listas!$F$55,[15]Listas!$G$55,""))</f>
        <v/>
      </c>
      <c r="Z466" s="319"/>
      <c r="AA466" s="182" t="str">
        <f>+IF(Z466=[15]Listas!$E$46,[15]Listas!$F$46,IF(Z466=[15]Listas!$E$47,[15]Listas!$F$47,""))</f>
        <v/>
      </c>
      <c r="AB466" s="183" t="str">
        <f t="shared" si="71"/>
        <v/>
      </c>
      <c r="AC466" s="319"/>
      <c r="AD466" s="322"/>
      <c r="AE466" s="323"/>
      <c r="AF466" s="305" t="str">
        <f t="shared" si="70"/>
        <v>Baja</v>
      </c>
      <c r="AG466" s="145">
        <f>IF(Y466=[15]Listas!$G$53,AG465-(AG465*AB466),AG465)</f>
        <v>0.28799999999999998</v>
      </c>
      <c r="AH466" s="562"/>
      <c r="AI466" s="305" t="str">
        <f t="shared" si="67"/>
        <v>Moderado</v>
      </c>
      <c r="AJ466" s="145">
        <f>IF(Y466=[15]Listas!$G$55,AJ465-(AJ465*AB466),AJ465)</f>
        <v>0.6</v>
      </c>
      <c r="AK466" s="562"/>
      <c r="AL466" s="565"/>
      <c r="AM466" s="565"/>
      <c r="AN466" s="565"/>
      <c r="AO466" s="568"/>
      <c r="AP466" s="571"/>
      <c r="AQ466" s="344"/>
      <c r="AR466" s="191"/>
    </row>
    <row r="467" spans="2:44" ht="16" hidden="1" customHeight="1" thickTop="1" x14ac:dyDescent="0.35">
      <c r="B467" s="537"/>
      <c r="C467" s="559"/>
      <c r="D467" s="574"/>
      <c r="E467" s="577"/>
      <c r="F467" s="625"/>
      <c r="G467" s="628"/>
      <c r="H467" s="628"/>
      <c r="I467" s="589"/>
      <c r="J467" s="589"/>
      <c r="K467" s="592"/>
      <c r="L467" s="589"/>
      <c r="M467" s="595"/>
      <c r="N467" s="598"/>
      <c r="O467" s="601"/>
      <c r="P467" s="595"/>
      <c r="Q467" s="604"/>
      <c r="R467" s="601"/>
      <c r="S467" s="288"/>
      <c r="T467" s="604"/>
      <c r="U467" s="142" t="s">
        <v>208</v>
      </c>
      <c r="V467" s="415"/>
      <c r="W467" s="319"/>
      <c r="X467" s="320" t="str">
        <f>IF(W467=[15]Listas!$B$46,[15]Listas!$C$46,IF(W467=[15]Listas!$B$47,[15]Listas!$C$47,IF(W467=[15]Listas!$B$48,[15]Listas!$C$48,"")))</f>
        <v/>
      </c>
      <c r="Y467" s="321" t="str">
        <f>IF(OR(W467=[15]Listas!$F$53,W467=[15]Listas!$F$54),[15]Listas!$G$53,IF(W467=[15]Listas!$F$55,[15]Listas!$G$55,""))</f>
        <v/>
      </c>
      <c r="Z467" s="319"/>
      <c r="AA467" s="182" t="str">
        <f>+IF(Z467=[15]Listas!$E$46,[15]Listas!$F$46,IF(Z467=[15]Listas!$E$47,[15]Listas!$F$47,""))</f>
        <v/>
      </c>
      <c r="AB467" s="183" t="str">
        <f t="shared" si="71"/>
        <v/>
      </c>
      <c r="AC467" s="319"/>
      <c r="AD467" s="322"/>
      <c r="AE467" s="323"/>
      <c r="AF467" s="305" t="str">
        <f t="shared" si="70"/>
        <v>Baja</v>
      </c>
      <c r="AG467" s="145">
        <f>IF(Y467=[15]Listas!$G$53,AG466-(AG466*AB467),AG466)</f>
        <v>0.28799999999999998</v>
      </c>
      <c r="AH467" s="562"/>
      <c r="AI467" s="305" t="str">
        <f t="shared" si="67"/>
        <v>Moderado</v>
      </c>
      <c r="AJ467" s="145">
        <f>IF(Y467=[15]Listas!$G$55,AJ466-(AJ466*AB467),AJ466)</f>
        <v>0.6</v>
      </c>
      <c r="AK467" s="562"/>
      <c r="AL467" s="565"/>
      <c r="AM467" s="565"/>
      <c r="AN467" s="565"/>
      <c r="AO467" s="568"/>
      <c r="AP467" s="571"/>
      <c r="AQ467" s="344"/>
      <c r="AR467" s="191"/>
    </row>
    <row r="468" spans="2:44" ht="15.65" hidden="1" customHeight="1" thickTop="1" x14ac:dyDescent="0.35">
      <c r="B468" s="537"/>
      <c r="C468" s="559"/>
      <c r="D468" s="574"/>
      <c r="E468" s="577"/>
      <c r="F468" s="625"/>
      <c r="G468" s="628"/>
      <c r="H468" s="628"/>
      <c r="I468" s="589"/>
      <c r="J468" s="589"/>
      <c r="K468" s="592"/>
      <c r="L468" s="589"/>
      <c r="M468" s="595"/>
      <c r="N468" s="598"/>
      <c r="O468" s="601"/>
      <c r="P468" s="595"/>
      <c r="Q468" s="604"/>
      <c r="R468" s="601"/>
      <c r="S468" s="289"/>
      <c r="T468" s="604"/>
      <c r="U468" s="142" t="s">
        <v>215</v>
      </c>
      <c r="V468" s="418"/>
      <c r="W468" s="331"/>
      <c r="X468" s="320" t="str">
        <f>IF(W468=[15]Listas!$B$46,[15]Listas!$C$46,IF(W468=[15]Listas!$B$47,[15]Listas!$C$47,IF(W468=[15]Listas!$B$48,[15]Listas!$C$48,"")))</f>
        <v/>
      </c>
      <c r="Y468" s="321" t="str">
        <f>IF(OR(W468=[15]Listas!$F$53,W468=[15]Listas!$F$54),[15]Listas!$G$53,IF(W468=[15]Listas!$F$55,[15]Listas!$G$55,""))</f>
        <v/>
      </c>
      <c r="Z468" s="331"/>
      <c r="AA468" s="182" t="str">
        <f>+IF(Z468=[15]Listas!$E$46,[15]Listas!$F$46,IF(Z468=[15]Listas!$E$47,[15]Listas!$F$47,""))</f>
        <v/>
      </c>
      <c r="AB468" s="183" t="str">
        <f t="shared" si="71"/>
        <v/>
      </c>
      <c r="AC468" s="319"/>
      <c r="AD468" s="322"/>
      <c r="AE468" s="323"/>
      <c r="AF468" s="305" t="str">
        <f t="shared" si="70"/>
        <v>Baja</v>
      </c>
      <c r="AG468" s="145">
        <f>IF(Y468=[15]Listas!$G$53,AG467-(AG467*AB468),AG467)</f>
        <v>0.28799999999999998</v>
      </c>
      <c r="AH468" s="562"/>
      <c r="AI468" s="305" t="str">
        <f t="shared" si="67"/>
        <v>Moderado</v>
      </c>
      <c r="AJ468" s="145">
        <f>IF(Y468=[15]Listas!$G$55,AJ467-(AJ467*AB468),AJ467)</f>
        <v>0.6</v>
      </c>
      <c r="AK468" s="562"/>
      <c r="AL468" s="565"/>
      <c r="AM468" s="565"/>
      <c r="AN468" s="565"/>
      <c r="AO468" s="568"/>
      <c r="AP468" s="571"/>
      <c r="AQ468" s="344"/>
      <c r="AR468" s="191"/>
    </row>
    <row r="469" spans="2:44" ht="15.65" hidden="1" customHeight="1" thickTop="1" x14ac:dyDescent="0.35">
      <c r="B469" s="537"/>
      <c r="C469" s="559"/>
      <c r="D469" s="574"/>
      <c r="E469" s="577"/>
      <c r="F469" s="625"/>
      <c r="G469" s="628"/>
      <c r="H469" s="628"/>
      <c r="I469" s="589"/>
      <c r="J469" s="589"/>
      <c r="K469" s="592"/>
      <c r="L469" s="589"/>
      <c r="M469" s="595"/>
      <c r="N469" s="598"/>
      <c r="O469" s="601"/>
      <c r="P469" s="595"/>
      <c r="Q469" s="604"/>
      <c r="R469" s="601"/>
      <c r="S469" s="289"/>
      <c r="T469" s="604"/>
      <c r="U469" s="142" t="s">
        <v>220</v>
      </c>
      <c r="V469" s="418"/>
      <c r="W469" s="331"/>
      <c r="X469" s="320" t="str">
        <f>IF(W469=[15]Listas!$B$46,[15]Listas!$C$46,IF(W469=[15]Listas!$B$47,[15]Listas!$C$47,IF(W469=[15]Listas!$B$48,[15]Listas!$C$48,"")))</f>
        <v/>
      </c>
      <c r="Y469" s="321" t="str">
        <f>IF(OR(W469=[15]Listas!$F$53,W469=[15]Listas!$F$54),[15]Listas!$G$53,IF(W469=[15]Listas!$F$55,[15]Listas!$G$55,""))</f>
        <v/>
      </c>
      <c r="Z469" s="331"/>
      <c r="AA469" s="182" t="str">
        <f>+IF(Z469=[15]Listas!$E$46,[15]Listas!$F$46,IF(Z469=[15]Listas!$E$47,[15]Listas!$F$47,""))</f>
        <v/>
      </c>
      <c r="AB469" s="183" t="str">
        <f t="shared" si="71"/>
        <v/>
      </c>
      <c r="AC469" s="319"/>
      <c r="AD469" s="322"/>
      <c r="AE469" s="323"/>
      <c r="AF469" s="305" t="str">
        <f t="shared" si="70"/>
        <v>Baja</v>
      </c>
      <c r="AG469" s="145">
        <f>IF(Y469=[15]Listas!$G$53,AG468-(AG468*AB469),AG468)</f>
        <v>0.28799999999999998</v>
      </c>
      <c r="AH469" s="562"/>
      <c r="AI469" s="305" t="str">
        <f t="shared" si="67"/>
        <v>Moderado</v>
      </c>
      <c r="AJ469" s="145">
        <f>IF(Y469=[15]Listas!$G$55,AJ468-(AJ468*AB469),AJ468)</f>
        <v>0.6</v>
      </c>
      <c r="AK469" s="562"/>
      <c r="AL469" s="565"/>
      <c r="AM469" s="565"/>
      <c r="AN469" s="565"/>
      <c r="AO469" s="568"/>
      <c r="AP469" s="571"/>
      <c r="AQ469" s="344"/>
      <c r="AR469" s="191"/>
    </row>
    <row r="470" spans="2:44" ht="15.65" hidden="1" customHeight="1" thickTop="1" x14ac:dyDescent="0.35">
      <c r="B470" s="537"/>
      <c r="C470" s="559"/>
      <c r="D470" s="574"/>
      <c r="E470" s="577"/>
      <c r="F470" s="625"/>
      <c r="G470" s="628"/>
      <c r="H470" s="628"/>
      <c r="I470" s="589"/>
      <c r="J470" s="589"/>
      <c r="K470" s="592"/>
      <c r="L470" s="589"/>
      <c r="M470" s="595"/>
      <c r="N470" s="598"/>
      <c r="O470" s="601"/>
      <c r="P470" s="595"/>
      <c r="Q470" s="604"/>
      <c r="R470" s="601"/>
      <c r="S470" s="289"/>
      <c r="T470" s="604"/>
      <c r="U470" s="142" t="s">
        <v>223</v>
      </c>
      <c r="V470" s="418"/>
      <c r="W470" s="331"/>
      <c r="X470" s="320" t="str">
        <f>IF(W470=[15]Listas!$B$46,[15]Listas!$C$46,IF(W470=[15]Listas!$B$47,[15]Listas!$C$47,IF(W470=[15]Listas!$B$48,[15]Listas!$C$48,"")))</f>
        <v/>
      </c>
      <c r="Y470" s="321" t="str">
        <f>IF(OR(W470=[15]Listas!$F$53,W470=[15]Listas!$F$54),[15]Listas!$G$53,IF(W470=[15]Listas!$F$55,[15]Listas!$G$55,""))</f>
        <v/>
      </c>
      <c r="Z470" s="331"/>
      <c r="AA470" s="182" t="str">
        <f>+IF(Z470=[15]Listas!$E$46,[15]Listas!$F$46,IF(Z470=[15]Listas!$E$47,[15]Listas!$F$47,""))</f>
        <v/>
      </c>
      <c r="AB470" s="183" t="str">
        <f t="shared" si="71"/>
        <v/>
      </c>
      <c r="AC470" s="319"/>
      <c r="AD470" s="322"/>
      <c r="AE470" s="323"/>
      <c r="AF470" s="305" t="str">
        <f t="shared" si="70"/>
        <v>Baja</v>
      </c>
      <c r="AG470" s="145">
        <f>IF(Y470=[15]Listas!$G$53,AG469-(AG469*AB470),AG469)</f>
        <v>0.28799999999999998</v>
      </c>
      <c r="AH470" s="562"/>
      <c r="AI470" s="305" t="str">
        <f t="shared" si="67"/>
        <v>Moderado</v>
      </c>
      <c r="AJ470" s="145">
        <f>IF(Y470=[15]Listas!$G$55,AJ469-(AJ469*AB470),AJ469)</f>
        <v>0.6</v>
      </c>
      <c r="AK470" s="562"/>
      <c r="AL470" s="565"/>
      <c r="AM470" s="565"/>
      <c r="AN470" s="565"/>
      <c r="AO470" s="568"/>
      <c r="AP470" s="571"/>
      <c r="AQ470" s="344"/>
      <c r="AR470" s="191"/>
    </row>
    <row r="471" spans="2:44" ht="16" hidden="1" customHeight="1" thickTop="1" x14ac:dyDescent="0.35">
      <c r="B471" s="537"/>
      <c r="C471" s="559"/>
      <c r="D471" s="575"/>
      <c r="E471" s="578"/>
      <c r="F471" s="626"/>
      <c r="G471" s="629"/>
      <c r="H471" s="629"/>
      <c r="I471" s="590"/>
      <c r="J471" s="590"/>
      <c r="K471" s="593"/>
      <c r="L471" s="590"/>
      <c r="M471" s="596"/>
      <c r="N471" s="599"/>
      <c r="O471" s="602"/>
      <c r="P471" s="596"/>
      <c r="Q471" s="605"/>
      <c r="R471" s="602"/>
      <c r="S471" s="293"/>
      <c r="T471" s="605"/>
      <c r="U471" s="202" t="s">
        <v>224</v>
      </c>
      <c r="V471" s="416"/>
      <c r="W471" s="335"/>
      <c r="X471" s="336" t="str">
        <f>IF(W471=[15]Listas!$B$46,[15]Listas!$C$46,IF(W471=[15]Listas!$B$47,[15]Listas!$C$47,IF(W471=[15]Listas!$B$48,[15]Listas!$C$48,"")))</f>
        <v/>
      </c>
      <c r="Y471" s="337" t="str">
        <f>IF(OR(W471=[15]Listas!$F$53,W471=[15]Listas!$F$54),[15]Listas!$G$53,IF(W471=[15]Listas!$F$55,[15]Listas!$G$55,""))</f>
        <v/>
      </c>
      <c r="Z471" s="335"/>
      <c r="AA471" s="186" t="str">
        <f>+IF(Z471=[15]Listas!$E$46,[15]Listas!$F$46,IF(Z471=[15]Listas!$E$47,[15]Listas!$F$47,""))</f>
        <v/>
      </c>
      <c r="AB471" s="187" t="str">
        <f t="shared" si="71"/>
        <v/>
      </c>
      <c r="AC471" s="338"/>
      <c r="AD471" s="339"/>
      <c r="AE471" s="340"/>
      <c r="AF471" s="311" t="str">
        <f t="shared" si="70"/>
        <v>Baja</v>
      </c>
      <c r="AG471" s="179">
        <f>IF(Y471=[15]Listas!$G$53,AG470-(AG470*AB471),AG470)</f>
        <v>0.28799999999999998</v>
      </c>
      <c r="AH471" s="563"/>
      <c r="AI471" s="311" t="str">
        <f t="shared" si="67"/>
        <v>Moderado</v>
      </c>
      <c r="AJ471" s="179">
        <f>IF(Y471=[15]Listas!$G$55,AJ470-(AJ470*AB471),AJ470)</f>
        <v>0.6</v>
      </c>
      <c r="AK471" s="563"/>
      <c r="AL471" s="566"/>
      <c r="AM471" s="566"/>
      <c r="AN471" s="566"/>
      <c r="AO471" s="569"/>
      <c r="AP471" s="572"/>
      <c r="AQ471" s="346"/>
      <c r="AR471" s="192"/>
    </row>
    <row r="472" spans="2:44" ht="178.5" customHeight="1" thickTop="1" thickBot="1" x14ac:dyDescent="0.4">
      <c r="B472" s="537"/>
      <c r="C472" s="559"/>
      <c r="D472" s="573" t="s">
        <v>636</v>
      </c>
      <c r="E472" s="576" t="s">
        <v>3</v>
      </c>
      <c r="F472" s="624" t="s">
        <v>637</v>
      </c>
      <c r="G472" s="627" t="s">
        <v>638</v>
      </c>
      <c r="H472" s="627" t="s">
        <v>639</v>
      </c>
      <c r="I472" s="588" t="s">
        <v>20</v>
      </c>
      <c r="J472" s="588" t="s">
        <v>22</v>
      </c>
      <c r="K472" s="591"/>
      <c r="L472" s="588" t="s">
        <v>185</v>
      </c>
      <c r="M472" s="594" t="s">
        <v>169</v>
      </c>
      <c r="N472" s="597" t="str">
        <f>+IF(M472="","",IF(M472=$BO$15,$BN$15,IF(M472=$BO$16,$BN$16,IF(M472=$BO$17,$BN$17,IF(M472=$BO$18,$BN$18,IF(M472=$BO$19,$BN$19))))))</f>
        <v>Alta</v>
      </c>
      <c r="O472" s="600">
        <f>+IF(M472="","",IF(M472=$BO$15,$BR$15,IF(M472=$BO$16,$BR$16,IF(M472=$BO$17,$BR$17,IF(M472=$BO$18,$BR$18,IF(M472=$BO$19,$BR$19))))))</f>
        <v>0.8</v>
      </c>
      <c r="P472" s="594" t="s">
        <v>211</v>
      </c>
      <c r="Q472" s="603" t="str">
        <f>+IF(P472="","",IF(P472='[15]Mapa de Calor inherente'!$AF$6,'[15]Mapa de Calor inherente'!$AD$6,IF(P472='[15]Mapa de Calor inherente'!$AF$7,'[15]Mapa de Calor inherente'!$AD$7,IF(P472='[15]Mapa de Calor inherente'!$AF$8,'[15]Mapa de Calor inherente'!$AD$8,IF(P472='[15]Mapa de Calor inherente'!$AF$9,'[15]Mapa de Calor inherente'!$AD$9,IF(P472='[15]Mapa de Calor inherente'!$AF$10,'[15]Mapa de Calor inherente'!$AD$10,IF(P472='[15]Mapa de Calor inherente'!$AG$6,'[15]Mapa de Calor inherente'!$AD$6,IF(P472='[15]Mapa de Calor inherente'!$AG$7,'[15]Mapa de Calor inherente'!$AD$7,IF(P472='[15]Mapa de Calor inherente'!$AG$8,'[15]Mapa de Calor inherente'!$AD$8,IF(P472='[15]Mapa de Calor inherente'!$AG$9,'[15]Mapa de Calor inherente'!$AD$9,IF(P472='[15]Mapa de Calor inherente'!$AG$10,'[15]Mapa de Calor inherente'!$AD$10,IF(P472='[15]Mapa de Calor inherente'!$AD$8,'[15]Mapa de Calor inherente'!$AD$8,IF(P472='[15]Mapa de Calor inherente'!$AD$9,'[15]Mapa de Calor inherente'!$AD$9,IF(P472='[15]Mapa de Calor inherente'!$AD$10,'[15]Mapa de Calor inherente'!$AD$10))))))))))))))</f>
        <v>Moderado</v>
      </c>
      <c r="R472" s="600">
        <f>+IF(P472="","",IF(P472='[15]Mapa de Calor inherente'!$AF$6,'[15]Mapa de Calor inherente'!$AE$6,IF(P472='[15]Mapa de Calor inherente'!$AF$7,'[15]Mapa de Calor inherente'!$AE$7,IF(P472='[15]Mapa de Calor inherente'!$AF$8,'[15]Mapa de Calor inherente'!$AE$8,IF(P472='[15]Mapa de Calor inherente'!$AF$9,'[15]Mapa de Calor inherente'!$AE$9,IF(P472='[15]Mapa de Calor inherente'!$AF$10,'[15]Mapa de Calor inherente'!$AE$10,IF(P472='[15]Mapa de Calor inherente'!$AG$6,'[15]Mapa de Calor inherente'!$AE$6,IF(P472='[15]Mapa de Calor inherente'!$AG$7,'[15]Mapa de Calor inherente'!$AE$7,IF(P472='[15]Mapa de Calor inherente'!$AG$8,'[15]Mapa de Calor inherente'!$AE$8,IF(P472='[15]Mapa de Calor inherente'!$AG$9,'[15]Mapa de Calor inherente'!$AE$9,IF(P472='[15]Mapa de Calor inherente'!$AG$10,'[15]Mapa de Calor inherente'!$AE$10,IF(P472='[15]Mapa de Calor inherente'!$AD$8,'[15]Mapa de Calor inherente'!$AE$8,IF(P472='[15]Mapa de Calor inherente'!$AD$9,'[15]Mapa de Calor inherente'!$AE$9,IF(P472='[15]Mapa de Calor inherente'!$AD$10,'[15]Mapa de Calor inherente'!$AE$10))))))))))))))</f>
        <v>0.6</v>
      </c>
      <c r="S472" s="292" t="e">
        <f>IF(N472="","",IF(R472="","",(N472*R472)))</f>
        <v>#VALUE!</v>
      </c>
      <c r="T472" s="603" t="str">
        <f>+IF(N472=$BB$17,IF(Q472=$BC$16,$BC$17,IF(Q472=$BD$16,$BD$17,IF(Q472=$BE$16,$BE$17,IF(Q472=$BF$16,$BF$17,IF(Q472=$BG$16,$BG$17))))),IF(N472=$BB$18,IF(Q472=$BC$16,$BC$18,IF(Q472=$BD$16,$BD$18,IF(Q472=$BE$16,$BE$18,IF(Q472=$BF$16,$BF$18,IF(Q472=$BG$16,$BG$18))))),IF(N472=$BB$19,IF(Q472=$BC$16,$BC$19,IF(Q472=$BD$16,$BD$19,IF(Q472=$BE$16,$BE$19,IF(Q472=$BF$16,$BF$19,IF(Q472=$BG$16,$BG$19))))),IF(N472=$BB$20,IF(Q472=$BC$16,$BC$20,IF(Q472=$BD$16,$BD$20,IF(Q472=$BE$16,$BE$20,IF(Q472=$BF$16,$BF$20,IF(Q472=$BG$16,$BG$20))))),IF(N472=$BB$21,IF(Q472=$BC$16,$BC$21,IF(Q472=$BD$16,$BD$21,IF(Q472=$BE$16,$BE$21,IF(Q472=$BF$16,$BF$21,IF(Q472=$BG$16,$BG$21))))),"")))))</f>
        <v>Alto</v>
      </c>
      <c r="U472" s="241" t="s">
        <v>171</v>
      </c>
      <c r="V472" s="454" t="s">
        <v>640</v>
      </c>
      <c r="W472" s="377" t="s">
        <v>40</v>
      </c>
      <c r="X472" s="314">
        <f>IF(W472=[15]Listas!$B$46,[15]Listas!$C$46,IF(W472=[15]Listas!$B$47,[15]Listas!$C$47,IF(W472=[15]Listas!$B$48,[15]Listas!$C$48,"")))</f>
        <v>0.25</v>
      </c>
      <c r="Y472" s="315" t="str">
        <f>IF(OR(W472=[15]Listas!$F$53,W472=[15]Listas!$F$54),[15]Listas!$G$53,IF(W472=[15]Listas!$F$55,[15]Listas!$G$55,""))</f>
        <v>Probabilidad</v>
      </c>
      <c r="Z472" s="313" t="s">
        <v>43</v>
      </c>
      <c r="AA472" s="314">
        <f>+IF(Z472=[15]Listas!$E$46,[15]Listas!$F$46,IF(Z472=[15]Listas!$E$47,[15]Listas!$F$47,""))</f>
        <v>0.15</v>
      </c>
      <c r="AB472" s="181">
        <f>IFERROR(X472+AA472,"")</f>
        <v>0.4</v>
      </c>
      <c r="AC472" s="313" t="s">
        <v>57</v>
      </c>
      <c r="AD472" s="316" t="s">
        <v>58</v>
      </c>
      <c r="AE472" s="317" t="s">
        <v>59</v>
      </c>
      <c r="AF472" s="299" t="str">
        <f t="shared" si="70"/>
        <v>Media</v>
      </c>
      <c r="AG472" s="141">
        <f>IF(Y472=[15]Listas!$G$53,O472-(O472*AB472),O472)</f>
        <v>0.48</v>
      </c>
      <c r="AH472" s="561">
        <f>+IF(AG481="","",AG481)</f>
        <v>0.33599999999999997</v>
      </c>
      <c r="AI472" s="299" t="str">
        <f>IF(AJ472="","",IF(AJ472&lt;=20%,"Leve",IF(AJ472&lt;=40%,"Menor",IF(AJ472&lt;=60%,"Moderado",IF(AJ472&lt;=80%,"Mayor","Catastrófico")))))</f>
        <v>Moderado</v>
      </c>
      <c r="AJ472" s="141">
        <f>IF(Y472=[15]Listas!$G$55,R472-(R472*AB472),R472)</f>
        <v>0.6</v>
      </c>
      <c r="AK472" s="561">
        <f>+IF(AJ481="","",AJ481)</f>
        <v>0.6</v>
      </c>
      <c r="AL472" s="564" t="str">
        <f>+IF(AH472=0,"",IF(AH472&lt;=$BA$21,$BB$21,IF(AH472&lt;=$BA$20,$BB$20,IF(AH472&lt;=$BA$19,$BB$19,IF(AH472&lt;=$BA$18,$BB$18,IF(AH472&lt;=$BA$17,$BB$17,""))))))</f>
        <v>Baja</v>
      </c>
      <c r="AM472" s="564" t="str">
        <f>+IF(AK472=0,"",IF(AK472&lt;=$BC$15,$BC$16,IF(AK472&lt;=$BD$15,$BD$16,IF(AK472&lt;=$BE$15,$BE$16,IF(AK472&lt;=$BF$15,$BF$16,IF(AK472&lt;=$BG$15,$BG$16,""))))))</f>
        <v>Moderado</v>
      </c>
      <c r="AN472" s="564" t="str">
        <f>IF(AL472=$BB$17,IF(AM472=$BC$16,$BC$17,IF(AM472=$BD$16,$BD$17,IF(AM472=$BE$16,$BE$17,IF(AM472=$BF$16,$BF$17,IF(AM472=$BG$16,$BG$17))))),IF(AL472=$BB$18,IF(AM472=$BC$16,$BC$18,IF(AM472=$BD$16,$BD$18,IF(AM472=$BE$16,$BE$18,IF(AM472=$BF$16,$BF$18,IF(AM472=$BG$16,$BG$18))))),IF(AL472=$BB$19,IF(AM472=$BC$16,$BC$19,IF(AM472=$BD$16,$BD$19,IF(AM472=$BE$16,$BE$19,IF(AM472=$BF$16,$BF$19,IF(AM472=$BG$16,$BG$19))))),IF(AL472=$BB$20,IF(AM472=$BC$16,$BC$20,IF(AM472=$BD$16,$BD$20,IF(AM472=$BE$16,$BE$20,IF(AM472=$BF$16,$BF$20,IF(AM472=$BG$16,$BG$20))))),IF(AL472=$BB$21,IF(AM472=$BC$16,$BC$21,IF(AM472=$BD$16,$BD$21,IF(AM472=$BE$16,$BE$21,IF(AM472=$BF$16,$BF$21,IF(AM472=$BG$16,$BG$21))))),"")))))</f>
        <v>Moderado</v>
      </c>
      <c r="AO472" s="567" t="str">
        <f>IF(AP472="","",IF(AP472=[15]Listas!$F$61,[15]Listas!$G$61,IF(AP472=[15]Listas!$F$63,[15]Listas!$G$63,IF(AP472=[15]Listas!$F$64,[15]Listas!$G$64))))</f>
        <v>Requiere Plan de Acción</v>
      </c>
      <c r="AP472" s="570" t="str">
        <f>IF(AN472="","",IF(OR(AN472=[15]Listas!$E$61,AN472=[15]Listas!$E$62),[15]Listas!$F$61,IF(AN472=[15]Listas!$E$63,[15]Listas!$F$63,IF(AN472=[15]Listas!$E$64,[15]Listas!$F$64))))</f>
        <v>Aceptar o reducir el riesgo</v>
      </c>
      <c r="AQ472" s="358" t="s">
        <v>80</v>
      </c>
      <c r="AR472" s="116" t="s">
        <v>641</v>
      </c>
    </row>
    <row r="473" spans="2:44" ht="101.5" customHeight="1" thickTop="1" thickBot="1" x14ac:dyDescent="0.4">
      <c r="B473" s="537"/>
      <c r="C473" s="559"/>
      <c r="D473" s="574"/>
      <c r="E473" s="577"/>
      <c r="F473" s="625"/>
      <c r="G473" s="628"/>
      <c r="H473" s="628"/>
      <c r="I473" s="589"/>
      <c r="J473" s="589"/>
      <c r="K473" s="592"/>
      <c r="L473" s="589"/>
      <c r="M473" s="595"/>
      <c r="N473" s="598"/>
      <c r="O473" s="601"/>
      <c r="P473" s="595"/>
      <c r="Q473" s="604"/>
      <c r="R473" s="601"/>
      <c r="S473" s="286"/>
      <c r="T473" s="604"/>
      <c r="U473" s="212" t="s">
        <v>174</v>
      </c>
      <c r="V473" s="478" t="s">
        <v>617</v>
      </c>
      <c r="W473" s="383" t="s">
        <v>42</v>
      </c>
      <c r="X473" s="320">
        <f>IF(W473=[15]Listas!$B$46,[15]Listas!$C$46,IF(W473=[15]Listas!$B$47,[15]Listas!$C$47,IF(W473=[15]Listas!$B$48,[15]Listas!$C$48,"")))</f>
        <v>0.15</v>
      </c>
      <c r="Y473" s="321" t="str">
        <f>IF(OR(W473=[15]Listas!$F$53,W473=[15]Listas!$F$54),[15]Listas!$G$53,IF(W473=[15]Listas!$F$55,[15]Listas!$G$55,""))</f>
        <v>Probabilidad</v>
      </c>
      <c r="Z473" s="319" t="s">
        <v>43</v>
      </c>
      <c r="AA473" s="182">
        <f>+IF(Z473=[15]Listas!$E$46,[15]Listas!$F$46,IF(Z473=[15]Listas!$E$47,[15]Listas!$F$47,""))</f>
        <v>0.15</v>
      </c>
      <c r="AB473" s="183">
        <f>IFERROR(X473+AA473,"")</f>
        <v>0.3</v>
      </c>
      <c r="AC473" s="319" t="s">
        <v>57</v>
      </c>
      <c r="AD473" s="322" t="s">
        <v>58</v>
      </c>
      <c r="AE473" s="323" t="s">
        <v>59</v>
      </c>
      <c r="AF473" s="305" t="str">
        <f t="shared" si="70"/>
        <v>Baja</v>
      </c>
      <c r="AG473" s="145">
        <f>IF(Y473=[15]Listas!$G$53,AG472-(AG472*AB473),AG472)</f>
        <v>0.33599999999999997</v>
      </c>
      <c r="AH473" s="562"/>
      <c r="AI473" s="305" t="str">
        <f t="shared" si="67"/>
        <v>Moderado</v>
      </c>
      <c r="AJ473" s="145">
        <f>IF(Y473=[15]Listas!$G$55,AJ472-(AJ472*AB473),AJ472)</f>
        <v>0.6</v>
      </c>
      <c r="AK473" s="562"/>
      <c r="AL473" s="565"/>
      <c r="AM473" s="565"/>
      <c r="AN473" s="565"/>
      <c r="AO473" s="568"/>
      <c r="AP473" s="571"/>
      <c r="AQ473" s="343" t="s">
        <v>90</v>
      </c>
      <c r="AR473" s="180" t="s">
        <v>642</v>
      </c>
    </row>
    <row r="474" spans="2:44" ht="15" hidden="1" customHeight="1" thickBot="1" x14ac:dyDescent="0.4">
      <c r="B474" s="537"/>
      <c r="C474" s="559"/>
      <c r="D474" s="574"/>
      <c r="E474" s="577"/>
      <c r="F474" s="625"/>
      <c r="G474" s="628"/>
      <c r="H474" s="628"/>
      <c r="I474" s="589"/>
      <c r="J474" s="589"/>
      <c r="K474" s="592"/>
      <c r="L474" s="589"/>
      <c r="M474" s="595"/>
      <c r="N474" s="598"/>
      <c r="O474" s="601"/>
      <c r="P474" s="595"/>
      <c r="Q474" s="604"/>
      <c r="R474" s="601"/>
      <c r="S474" s="287"/>
      <c r="T474" s="604"/>
      <c r="U474" s="142" t="s">
        <v>180</v>
      </c>
      <c r="V474" s="441"/>
      <c r="W474" s="331"/>
      <c r="X474" s="320" t="str">
        <f>IF(W474=[15]Listas!$B$46,[15]Listas!$C$46,IF(W474=[15]Listas!$B$47,[15]Listas!$C$47,IF(W474=[15]Listas!$B$48,[15]Listas!$C$48,"")))</f>
        <v/>
      </c>
      <c r="Y474" s="321" t="str">
        <f>IF(OR(W474=[15]Listas!$F$53,W474=[15]Listas!$F$54),[15]Listas!$G$53,IF(W474=[15]Listas!$F$55,[15]Listas!$G$55,""))</f>
        <v/>
      </c>
      <c r="Z474" s="319"/>
      <c r="AA474" s="182" t="str">
        <f>+IF(Z474=[15]Listas!$E$46,[15]Listas!$F$46,IF(Z474=[15]Listas!$E$47,[15]Listas!$F$47,""))</f>
        <v/>
      </c>
      <c r="AB474" s="183" t="str">
        <f>IFERROR(X474+AA474,"")</f>
        <v/>
      </c>
      <c r="AC474" s="325"/>
      <c r="AD474" s="326"/>
      <c r="AE474" s="327"/>
      <c r="AF474" s="305" t="str">
        <f t="shared" si="70"/>
        <v>Baja</v>
      </c>
      <c r="AG474" s="145">
        <f>IF(Y474=[15]Listas!$G$53,AG473-(AG473*AB474),AG473)</f>
        <v>0.33599999999999997</v>
      </c>
      <c r="AH474" s="562"/>
      <c r="AI474" s="305" t="str">
        <f t="shared" si="67"/>
        <v>Moderado</v>
      </c>
      <c r="AJ474" s="145">
        <f>IF(Y474=[15]Listas!$G$55,AJ473-(AJ473*AB474),AJ473)</f>
        <v>0.6</v>
      </c>
      <c r="AK474" s="562"/>
      <c r="AL474" s="565"/>
      <c r="AM474" s="565"/>
      <c r="AN474" s="565"/>
      <c r="AO474" s="568"/>
      <c r="AP474" s="571"/>
      <c r="AQ474" s="343"/>
      <c r="AR474" s="191"/>
    </row>
    <row r="475" spans="2:44" ht="15" hidden="1" customHeight="1" thickTop="1" x14ac:dyDescent="0.35">
      <c r="B475" s="537"/>
      <c r="C475" s="559"/>
      <c r="D475" s="574"/>
      <c r="E475" s="577"/>
      <c r="F475" s="625"/>
      <c r="G475" s="628"/>
      <c r="H475" s="628"/>
      <c r="I475" s="589"/>
      <c r="J475" s="589"/>
      <c r="K475" s="592"/>
      <c r="L475" s="589"/>
      <c r="M475" s="595"/>
      <c r="N475" s="598"/>
      <c r="O475" s="601"/>
      <c r="P475" s="595"/>
      <c r="Q475" s="604"/>
      <c r="R475" s="601"/>
      <c r="S475" s="287"/>
      <c r="T475" s="604"/>
      <c r="U475" s="142" t="s">
        <v>190</v>
      </c>
      <c r="V475" s="415"/>
      <c r="W475" s="331"/>
      <c r="X475" s="320" t="str">
        <f>IF(W475=[15]Listas!$B$46,[15]Listas!$C$46,IF(W475=[15]Listas!$B$47,[15]Listas!$C$47,IF(W475=[15]Listas!$B$48,[15]Listas!$C$48,"")))</f>
        <v/>
      </c>
      <c r="Y475" s="321" t="str">
        <f>IF(OR(W475=[15]Listas!$F$53,W475=[15]Listas!$F$54),[15]Listas!$G$53,IF(W475=[15]Listas!$F$55,[15]Listas!$G$55,""))</f>
        <v/>
      </c>
      <c r="Z475" s="319"/>
      <c r="AA475" s="182" t="str">
        <f>+IF(Z475=[15]Listas!$E$46,[15]Listas!$F$46,IF(Z475=[15]Listas!$E$47,[15]Listas!$F$47,""))</f>
        <v/>
      </c>
      <c r="AB475" s="183" t="str">
        <f t="shared" ref="AB475:AB481" si="72">IFERROR(X475+AA475,"")</f>
        <v/>
      </c>
      <c r="AC475" s="328"/>
      <c r="AD475" s="329"/>
      <c r="AE475" s="330"/>
      <c r="AF475" s="305" t="str">
        <f t="shared" si="70"/>
        <v>Baja</v>
      </c>
      <c r="AG475" s="145">
        <f>IF(Y475=[15]Listas!$G$53,AG474-(AG474*AB475),AG474)</f>
        <v>0.33599999999999997</v>
      </c>
      <c r="AH475" s="562"/>
      <c r="AI475" s="305" t="str">
        <f t="shared" si="67"/>
        <v>Moderado</v>
      </c>
      <c r="AJ475" s="145">
        <f>IF(Y475=[15]Listas!$G$55,AJ474-(AJ474*AB475),AJ474)</f>
        <v>0.6</v>
      </c>
      <c r="AK475" s="562"/>
      <c r="AL475" s="565"/>
      <c r="AM475" s="565"/>
      <c r="AN475" s="565"/>
      <c r="AO475" s="568"/>
      <c r="AP475" s="571"/>
      <c r="AQ475" s="343"/>
      <c r="AR475" s="191"/>
    </row>
    <row r="476" spans="2:44" ht="15" hidden="1" customHeight="1" thickTop="1" x14ac:dyDescent="0.35">
      <c r="B476" s="537"/>
      <c r="C476" s="559"/>
      <c r="D476" s="574"/>
      <c r="E476" s="577"/>
      <c r="F476" s="625"/>
      <c r="G476" s="628"/>
      <c r="H476" s="628"/>
      <c r="I476" s="589"/>
      <c r="J476" s="589"/>
      <c r="K476" s="592"/>
      <c r="L476" s="589"/>
      <c r="M476" s="595"/>
      <c r="N476" s="598"/>
      <c r="O476" s="601"/>
      <c r="P476" s="595"/>
      <c r="Q476" s="604"/>
      <c r="R476" s="601"/>
      <c r="S476" s="287"/>
      <c r="T476" s="604"/>
      <c r="U476" s="142" t="s">
        <v>198</v>
      </c>
      <c r="V476" s="415"/>
      <c r="W476" s="331"/>
      <c r="X476" s="320" t="str">
        <f>IF(W476=[15]Listas!$B$46,[15]Listas!$C$46,IF(W476=[15]Listas!$B$47,[15]Listas!$C$47,IF(W476=[15]Listas!$B$48,[15]Listas!$C$48,"")))</f>
        <v/>
      </c>
      <c r="Y476" s="321" t="str">
        <f>IF(OR(W476=[15]Listas!$F$53,W476=[15]Listas!$F$54),[15]Listas!$G$53,IF(W476=[15]Listas!$F$55,[15]Listas!$G$55,""))</f>
        <v/>
      </c>
      <c r="Z476" s="319"/>
      <c r="AA476" s="182" t="str">
        <f>+IF(Z476=[15]Listas!$E$46,[15]Listas!$F$46,IF(Z476=[15]Listas!$E$47,[15]Listas!$F$47,""))</f>
        <v/>
      </c>
      <c r="AB476" s="183" t="str">
        <f t="shared" si="72"/>
        <v/>
      </c>
      <c r="AC476" s="319"/>
      <c r="AD476" s="322"/>
      <c r="AE476" s="323"/>
      <c r="AF476" s="305" t="str">
        <f t="shared" si="70"/>
        <v>Baja</v>
      </c>
      <c r="AG476" s="145">
        <f>IF(Y476=[15]Listas!$G$53,AG475-(AG475*AB476),AG475)</f>
        <v>0.33599999999999997</v>
      </c>
      <c r="AH476" s="562"/>
      <c r="AI476" s="305" t="str">
        <f t="shared" si="67"/>
        <v>Moderado</v>
      </c>
      <c r="AJ476" s="145">
        <f>IF(Y476=[15]Listas!$G$55,AJ475-(AJ475*AB476),AJ475)</f>
        <v>0.6</v>
      </c>
      <c r="AK476" s="562"/>
      <c r="AL476" s="565"/>
      <c r="AM476" s="565"/>
      <c r="AN476" s="565"/>
      <c r="AO476" s="568"/>
      <c r="AP476" s="571"/>
      <c r="AQ476" s="344"/>
      <c r="AR476" s="191"/>
    </row>
    <row r="477" spans="2:44" ht="15.75" hidden="1" customHeight="1" thickTop="1" x14ac:dyDescent="0.35">
      <c r="B477" s="537"/>
      <c r="C477" s="559"/>
      <c r="D477" s="574"/>
      <c r="E477" s="577"/>
      <c r="F477" s="625"/>
      <c r="G477" s="628"/>
      <c r="H477" s="628"/>
      <c r="I477" s="589"/>
      <c r="J477" s="589"/>
      <c r="K477" s="592"/>
      <c r="L477" s="589"/>
      <c r="M477" s="595"/>
      <c r="N477" s="598"/>
      <c r="O477" s="601"/>
      <c r="P477" s="595"/>
      <c r="Q477" s="604"/>
      <c r="R477" s="601"/>
      <c r="S477" s="288"/>
      <c r="T477" s="604"/>
      <c r="U477" s="142" t="s">
        <v>208</v>
      </c>
      <c r="V477" s="418"/>
      <c r="W477" s="331"/>
      <c r="X477" s="320" t="str">
        <f>IF(W477=[15]Listas!$B$46,[15]Listas!$C$46,IF(W477=[15]Listas!$B$47,[15]Listas!$C$47,IF(W477=[15]Listas!$B$48,[15]Listas!$C$48,"")))</f>
        <v/>
      </c>
      <c r="Y477" s="321" t="str">
        <f>IF(OR(W477=[15]Listas!$F$53,W477=[15]Listas!$F$54),[15]Listas!$G$53,IF(W477=[15]Listas!$F$55,[15]Listas!$G$55,""))</f>
        <v/>
      </c>
      <c r="Z477" s="319"/>
      <c r="AA477" s="182" t="str">
        <f>+IF(Z477=[15]Listas!$E$46,[15]Listas!$F$46,IF(Z477=[15]Listas!$E$47,[15]Listas!$F$47,""))</f>
        <v/>
      </c>
      <c r="AB477" s="183" t="str">
        <f t="shared" si="72"/>
        <v/>
      </c>
      <c r="AC477" s="319"/>
      <c r="AD477" s="322"/>
      <c r="AE477" s="323"/>
      <c r="AF477" s="305" t="str">
        <f t="shared" si="70"/>
        <v>Baja</v>
      </c>
      <c r="AG477" s="145">
        <f>IF(Y477=[15]Listas!$G$53,AG476-(AG476*AB477),AG476)</f>
        <v>0.33599999999999997</v>
      </c>
      <c r="AH477" s="562"/>
      <c r="AI477" s="305" t="str">
        <f t="shared" si="67"/>
        <v>Moderado</v>
      </c>
      <c r="AJ477" s="145">
        <f>IF(Y477=[15]Listas!$G$55,AJ476-(AJ476*AB477),AJ476)</f>
        <v>0.6</v>
      </c>
      <c r="AK477" s="562"/>
      <c r="AL477" s="565"/>
      <c r="AM477" s="565"/>
      <c r="AN477" s="565"/>
      <c r="AO477" s="568"/>
      <c r="AP477" s="571"/>
      <c r="AQ477" s="343"/>
      <c r="AR477" s="191"/>
    </row>
    <row r="478" spans="2:44" ht="15" hidden="1" customHeight="1" thickTop="1" x14ac:dyDescent="0.35">
      <c r="B478" s="537"/>
      <c r="C478" s="559"/>
      <c r="D478" s="574"/>
      <c r="E478" s="577"/>
      <c r="F478" s="625"/>
      <c r="G478" s="628"/>
      <c r="H478" s="628"/>
      <c r="I478" s="589"/>
      <c r="J478" s="589"/>
      <c r="K478" s="592"/>
      <c r="L478" s="589"/>
      <c r="M478" s="595"/>
      <c r="N478" s="598"/>
      <c r="O478" s="601"/>
      <c r="P478" s="595"/>
      <c r="Q478" s="604"/>
      <c r="R478" s="601"/>
      <c r="S478" s="289"/>
      <c r="T478" s="604"/>
      <c r="U478" s="142" t="s">
        <v>215</v>
      </c>
      <c r="V478" s="415"/>
      <c r="W478" s="319"/>
      <c r="X478" s="320" t="str">
        <f>IF(W478=[15]Listas!$B$46,[15]Listas!$C$46,IF(W478=[15]Listas!$B$47,[15]Listas!$C$47,IF(W478=[15]Listas!$B$48,[15]Listas!$C$48,"")))</f>
        <v/>
      </c>
      <c r="Y478" s="321" t="str">
        <f>IF(OR(W478=[15]Listas!$F$53,W478=[15]Listas!$F$54),[15]Listas!$G$53,IF(W478=[15]Listas!$F$55,[15]Listas!$G$55,""))</f>
        <v/>
      </c>
      <c r="Z478" s="319"/>
      <c r="AA478" s="182" t="str">
        <f>+IF(Z478=[15]Listas!$E$46,[15]Listas!$F$46,IF(Z478=[15]Listas!$E$47,[15]Listas!$F$47,""))</f>
        <v/>
      </c>
      <c r="AB478" s="183" t="str">
        <f t="shared" si="72"/>
        <v/>
      </c>
      <c r="AC478" s="319"/>
      <c r="AD478" s="322"/>
      <c r="AE478" s="323"/>
      <c r="AF478" s="305" t="str">
        <f t="shared" si="70"/>
        <v>Baja</v>
      </c>
      <c r="AG478" s="145">
        <f>IF(Y478=[15]Listas!$G$53,AG477-(AG477*AB478),AG477)</f>
        <v>0.33599999999999997</v>
      </c>
      <c r="AH478" s="562"/>
      <c r="AI478" s="305" t="str">
        <f t="shared" si="67"/>
        <v>Moderado</v>
      </c>
      <c r="AJ478" s="145">
        <f>IF(Y478=[15]Listas!$G$55,AJ477-(AJ477*AB478),AJ477)</f>
        <v>0.6</v>
      </c>
      <c r="AK478" s="562"/>
      <c r="AL478" s="565"/>
      <c r="AM478" s="565"/>
      <c r="AN478" s="565"/>
      <c r="AO478" s="568"/>
      <c r="AP478" s="571"/>
      <c r="AQ478" s="343"/>
      <c r="AR478" s="191"/>
    </row>
    <row r="479" spans="2:44" ht="15" hidden="1" customHeight="1" thickTop="1" x14ac:dyDescent="0.35">
      <c r="B479" s="537"/>
      <c r="C479" s="559"/>
      <c r="D479" s="574"/>
      <c r="E479" s="577"/>
      <c r="F479" s="625"/>
      <c r="G479" s="628"/>
      <c r="H479" s="628"/>
      <c r="I479" s="589"/>
      <c r="J479" s="589"/>
      <c r="K479" s="592"/>
      <c r="L479" s="589"/>
      <c r="M479" s="595"/>
      <c r="N479" s="598"/>
      <c r="O479" s="601"/>
      <c r="P479" s="595"/>
      <c r="Q479" s="604"/>
      <c r="R479" s="601"/>
      <c r="S479" s="289"/>
      <c r="T479" s="604"/>
      <c r="U479" s="142" t="s">
        <v>220</v>
      </c>
      <c r="V479" s="418"/>
      <c r="W479" s="331"/>
      <c r="X479" s="320" t="str">
        <f>IF(W479=[15]Listas!$B$46,[15]Listas!$C$46,IF(W479=[15]Listas!$B$47,[15]Listas!$C$47,IF(W479=[15]Listas!$B$48,[15]Listas!$C$48,"")))</f>
        <v/>
      </c>
      <c r="Y479" s="321" t="str">
        <f>IF(OR(W479=[15]Listas!$F$53,W479=[15]Listas!$F$54),[15]Listas!$G$53,IF(W479=[15]Listas!$F$55,[15]Listas!$G$55,""))</f>
        <v/>
      </c>
      <c r="Z479" s="319"/>
      <c r="AA479" s="182" t="str">
        <f>+IF(Z479=[15]Listas!$E$46,[15]Listas!$F$46,IF(Z479=[15]Listas!$E$47,[15]Listas!$F$47,""))</f>
        <v/>
      </c>
      <c r="AB479" s="183" t="str">
        <f t="shared" si="72"/>
        <v/>
      </c>
      <c r="AC479" s="319"/>
      <c r="AD479" s="322"/>
      <c r="AE479" s="323"/>
      <c r="AF479" s="305" t="str">
        <f t="shared" si="70"/>
        <v>Baja</v>
      </c>
      <c r="AG479" s="145">
        <f>IF(Y479=[15]Listas!$G$53,AG478-(AG478*AB479),AG478)</f>
        <v>0.33599999999999997</v>
      </c>
      <c r="AH479" s="562"/>
      <c r="AI479" s="305" t="str">
        <f t="shared" si="67"/>
        <v>Moderado</v>
      </c>
      <c r="AJ479" s="145">
        <f>IF(Y479=[15]Listas!$G$55,AJ478-(AJ478*AB479),AJ478)</f>
        <v>0.6</v>
      </c>
      <c r="AK479" s="562"/>
      <c r="AL479" s="565"/>
      <c r="AM479" s="565"/>
      <c r="AN479" s="565"/>
      <c r="AO479" s="568"/>
      <c r="AP479" s="571"/>
      <c r="AQ479" s="344"/>
      <c r="AR479" s="191"/>
    </row>
    <row r="480" spans="2:44" ht="15" hidden="1" customHeight="1" thickTop="1" x14ac:dyDescent="0.35">
      <c r="B480" s="537"/>
      <c r="C480" s="559"/>
      <c r="D480" s="574"/>
      <c r="E480" s="577"/>
      <c r="F480" s="625"/>
      <c r="G480" s="628"/>
      <c r="H480" s="628"/>
      <c r="I480" s="589"/>
      <c r="J480" s="589"/>
      <c r="K480" s="592"/>
      <c r="L480" s="589"/>
      <c r="M480" s="595"/>
      <c r="N480" s="598"/>
      <c r="O480" s="601"/>
      <c r="P480" s="595"/>
      <c r="Q480" s="604"/>
      <c r="R480" s="601"/>
      <c r="S480" s="289"/>
      <c r="T480" s="604"/>
      <c r="U480" s="142" t="s">
        <v>223</v>
      </c>
      <c r="V480" s="418"/>
      <c r="W480" s="331"/>
      <c r="X480" s="320" t="str">
        <f>IF(W480=[15]Listas!$B$46,[15]Listas!$C$46,IF(W480=[15]Listas!$B$47,[15]Listas!$C$47,IF(W480=[15]Listas!$B$48,[15]Listas!$C$48,"")))</f>
        <v/>
      </c>
      <c r="Y480" s="321" t="str">
        <f>IF(OR(W480=[15]Listas!$F$53,W480=[15]Listas!$F$54),[15]Listas!$G$53,IF(W480=[15]Listas!$F$55,[15]Listas!$G$55,""))</f>
        <v/>
      </c>
      <c r="Z480" s="319"/>
      <c r="AA480" s="182" t="str">
        <f>+IF(Z480=[15]Listas!$E$46,[15]Listas!$F$46,IF(Z480=[15]Listas!$E$47,[15]Listas!$F$47,""))</f>
        <v/>
      </c>
      <c r="AB480" s="183" t="str">
        <f t="shared" si="72"/>
        <v/>
      </c>
      <c r="AC480" s="319"/>
      <c r="AD480" s="322"/>
      <c r="AE480" s="323"/>
      <c r="AF480" s="305" t="str">
        <f t="shared" si="70"/>
        <v>Baja</v>
      </c>
      <c r="AG480" s="145">
        <f>IF(Y480=[15]Listas!$G$53,AG479-(AG479*AB480),AG479)</f>
        <v>0.33599999999999997</v>
      </c>
      <c r="AH480" s="562"/>
      <c r="AI480" s="305" t="str">
        <f t="shared" si="67"/>
        <v>Moderado</v>
      </c>
      <c r="AJ480" s="145">
        <f>IF(Y480=[15]Listas!$G$55,AJ479-(AJ479*AB480),AJ479)</f>
        <v>0.6</v>
      </c>
      <c r="AK480" s="562"/>
      <c r="AL480" s="565"/>
      <c r="AM480" s="565"/>
      <c r="AN480" s="565"/>
      <c r="AO480" s="568"/>
      <c r="AP480" s="571"/>
      <c r="AQ480" s="343"/>
      <c r="AR480" s="191"/>
    </row>
    <row r="481" spans="2:44" ht="15.75" hidden="1" customHeight="1" thickTop="1" x14ac:dyDescent="0.35">
      <c r="B481" s="537"/>
      <c r="C481" s="559"/>
      <c r="D481" s="575"/>
      <c r="E481" s="578"/>
      <c r="F481" s="626"/>
      <c r="G481" s="629"/>
      <c r="H481" s="629"/>
      <c r="I481" s="590"/>
      <c r="J481" s="590"/>
      <c r="K481" s="593"/>
      <c r="L481" s="590"/>
      <c r="M481" s="596"/>
      <c r="N481" s="599"/>
      <c r="O481" s="602"/>
      <c r="P481" s="596"/>
      <c r="Q481" s="605"/>
      <c r="R481" s="602"/>
      <c r="S481" s="293"/>
      <c r="T481" s="605"/>
      <c r="U481" s="202" t="s">
        <v>224</v>
      </c>
      <c r="V481" s="416"/>
      <c r="W481" s="335"/>
      <c r="X481" s="336" t="str">
        <f>IF(W481=[15]Listas!$B$46,[15]Listas!$C$46,IF(W481=[15]Listas!$B$47,[15]Listas!$C$47,IF(W481=[15]Listas!$B$48,[15]Listas!$C$48,"")))</f>
        <v/>
      </c>
      <c r="Y481" s="337" t="str">
        <f>IF(OR(W481=[15]Listas!$F$53,W481=[15]Listas!$F$54),[15]Listas!$G$53,IF(W481=[15]Listas!$F$55,[15]Listas!$G$55,""))</f>
        <v/>
      </c>
      <c r="Z481" s="335"/>
      <c r="AA481" s="186" t="str">
        <f>+IF(Z481=[15]Listas!$E$46,[15]Listas!$F$46,IF(Z481=[15]Listas!$E$47,[15]Listas!$F$47,""))</f>
        <v/>
      </c>
      <c r="AB481" s="187" t="str">
        <f t="shared" si="72"/>
        <v/>
      </c>
      <c r="AC481" s="338"/>
      <c r="AD481" s="339"/>
      <c r="AE481" s="340"/>
      <c r="AF481" s="311" t="str">
        <f t="shared" si="70"/>
        <v>Baja</v>
      </c>
      <c r="AG481" s="179">
        <f>IF(Y481=[15]Listas!$G$53,AG480-(AG480*AB481),AG480)</f>
        <v>0.33599999999999997</v>
      </c>
      <c r="AH481" s="563"/>
      <c r="AI481" s="311" t="str">
        <f t="shared" si="67"/>
        <v>Moderado</v>
      </c>
      <c r="AJ481" s="179">
        <f>IF(Y481=[15]Listas!$G$55,AJ480-(AJ480*AB481),AJ480)</f>
        <v>0.6</v>
      </c>
      <c r="AK481" s="563"/>
      <c r="AL481" s="566"/>
      <c r="AM481" s="566"/>
      <c r="AN481" s="566"/>
      <c r="AO481" s="569"/>
      <c r="AP481" s="572"/>
      <c r="AQ481" s="359"/>
      <c r="AR481" s="192"/>
    </row>
    <row r="482" spans="2:44" ht="159.65" customHeight="1" thickTop="1" thickBot="1" x14ac:dyDescent="0.4">
      <c r="B482" s="537"/>
      <c r="C482" s="559"/>
      <c r="D482" s="573" t="s">
        <v>643</v>
      </c>
      <c r="E482" s="576" t="s">
        <v>5</v>
      </c>
      <c r="F482" s="624" t="s">
        <v>644</v>
      </c>
      <c r="G482" s="627" t="s">
        <v>645</v>
      </c>
      <c r="H482" s="627" t="s">
        <v>646</v>
      </c>
      <c r="I482" s="588" t="s">
        <v>28</v>
      </c>
      <c r="J482" s="588" t="s">
        <v>34</v>
      </c>
      <c r="K482" s="591"/>
      <c r="L482" s="588" t="s">
        <v>186</v>
      </c>
      <c r="M482" s="594" t="s">
        <v>214</v>
      </c>
      <c r="N482" s="597" t="str">
        <f>+IF(M482="","",IF(M482=$BO$15,$BN$15,IF(M482=$BO$16,$BN$16,IF(M482=$BO$17,$BN$17,IF(M482=$BO$18,$BN$18,IF(M482=$BO$19,$BN$19))))))</f>
        <v>Media</v>
      </c>
      <c r="O482" s="600">
        <f>+IF(M482="","",IF(M482=$BO$15,$BR$15,IF(M482=$BO$16,$BR$16,IF(M482=$BO$17,$BR$17,IF(M482=$BO$18,$BR$18,IF(M482=$BO$19,$BR$19))))))</f>
        <v>0.6</v>
      </c>
      <c r="P482" s="594" t="s">
        <v>212</v>
      </c>
      <c r="Q482" s="603" t="str">
        <f>+IF(P482="","",IF(P482='[15]Mapa de Calor inherente'!$AF$6,'[15]Mapa de Calor inherente'!$AD$6,IF(P482='[15]Mapa de Calor inherente'!$AF$7,'[15]Mapa de Calor inherente'!$AD$7,IF(P482='[15]Mapa de Calor inherente'!$AF$8,'[15]Mapa de Calor inherente'!$AD$8,IF(P482='[15]Mapa de Calor inherente'!$AF$9,'[15]Mapa de Calor inherente'!$AD$9,IF(P482='[15]Mapa de Calor inherente'!$AF$10,'[15]Mapa de Calor inherente'!$AD$10,IF(P482='[15]Mapa de Calor inherente'!$AG$6,'[15]Mapa de Calor inherente'!$AD$6,IF(P482='[15]Mapa de Calor inherente'!$AG$7,'[15]Mapa de Calor inherente'!$AD$7,IF(P482='[15]Mapa de Calor inherente'!$AG$8,'[15]Mapa de Calor inherente'!$AD$8,IF(P482='[15]Mapa de Calor inherente'!$AG$9,'[15]Mapa de Calor inherente'!$AD$9,IF(P482='[15]Mapa de Calor inherente'!$AG$10,'[15]Mapa de Calor inherente'!$AD$10,IF(P482='[15]Mapa de Calor inherente'!$AD$8,'[15]Mapa de Calor inherente'!$AD$8,IF(P482='[15]Mapa de Calor inherente'!$AD$9,'[15]Mapa de Calor inherente'!$AD$9,IF(P482='[15]Mapa de Calor inherente'!$AD$10,'[15]Mapa de Calor inherente'!$AD$10))))))))))))))</f>
        <v>Moderado</v>
      </c>
      <c r="R482" s="600">
        <f>+IF(P482="","",IF(P482='[15]Mapa de Calor inherente'!$AF$6,'[15]Mapa de Calor inherente'!$AE$6,IF(P482='[15]Mapa de Calor inherente'!$AF$7,'[15]Mapa de Calor inherente'!$AE$7,IF(P482='[15]Mapa de Calor inherente'!$AF$8,'[15]Mapa de Calor inherente'!$AE$8,IF(P482='[15]Mapa de Calor inherente'!$AF$9,'[15]Mapa de Calor inherente'!$AE$9,IF(P482='[15]Mapa de Calor inherente'!$AF$10,'[15]Mapa de Calor inherente'!$AE$10,IF(P482='[15]Mapa de Calor inherente'!$AG$6,'[15]Mapa de Calor inherente'!$AE$6,IF(P482='[15]Mapa de Calor inherente'!$AG$7,'[15]Mapa de Calor inherente'!$AE$7,IF(P482='[15]Mapa de Calor inherente'!$AG$8,'[15]Mapa de Calor inherente'!$AE$8,IF(P482='[15]Mapa de Calor inherente'!$AG$9,'[15]Mapa de Calor inherente'!$AE$9,IF(P482='[15]Mapa de Calor inherente'!$AG$10,'[15]Mapa de Calor inherente'!$AE$10,IF(P482='[15]Mapa de Calor inherente'!$AD$8,'[15]Mapa de Calor inherente'!$AE$8,IF(P482='[15]Mapa de Calor inherente'!$AD$9,'[15]Mapa de Calor inherente'!$AE$9,IF(P482='[15]Mapa de Calor inherente'!$AD$10,'[15]Mapa de Calor inherente'!$AE$10))))))))))))))</f>
        <v>0.6</v>
      </c>
      <c r="S482" s="292" t="e">
        <f>IF(N482="","",IF(R482="","",(N482*R482)))</f>
        <v>#VALUE!</v>
      </c>
      <c r="T482" s="603" t="str">
        <f>+IF(N482=$BB$17,IF(Q482=$BC$16,$BC$17,IF(Q482=$BD$16,$BD$17,IF(Q482=$BE$16,$BE$17,IF(Q482=$BF$16,$BF$17,IF(Q482=$BG$16,$BG$17))))),IF(N482=$BB$18,IF(Q482=$BC$16,$BC$18,IF(Q482=$BD$16,$BD$18,IF(Q482=$BE$16,$BE$18,IF(Q482=$BF$16,$BF$18,IF(Q482=$BG$16,$BG$18))))),IF(N482=$BB$19,IF(Q482=$BC$16,$BC$19,IF(Q482=$BD$16,$BD$19,IF(Q482=$BE$16,$BE$19,IF(Q482=$BF$16,$BF$19,IF(Q482=$BG$16,$BG$19))))),IF(N482=$BB$20,IF(Q482=$BC$16,$BC$20,IF(Q482=$BD$16,$BD$20,IF(Q482=$BE$16,$BE$20,IF(Q482=$BF$16,$BF$20,IF(Q482=$BG$16,$BG$20))))),IF(N482=$BB$21,IF(Q482=$BC$16,$BC$21,IF(Q482=$BD$16,$BD$21,IF(Q482=$BE$16,$BE$21,IF(Q482=$BF$16,$BF$21,IF(Q482=$BG$16,$BG$21))))),"")))))</f>
        <v>Moderado</v>
      </c>
      <c r="U482" s="241" t="s">
        <v>171</v>
      </c>
      <c r="V482" s="454" t="s">
        <v>647</v>
      </c>
      <c r="W482" s="377" t="s">
        <v>40</v>
      </c>
      <c r="X482" s="314">
        <f>IF(W482=[15]Listas!$B$46,[15]Listas!$C$46,IF(W482=[15]Listas!$B$47,[15]Listas!$C$47,IF(W482=[15]Listas!$B$48,[15]Listas!$C$48,"")))</f>
        <v>0.25</v>
      </c>
      <c r="Y482" s="315" t="str">
        <f>IF(OR(W482=[15]Listas!$F$53,W482=[15]Listas!$F$54),[15]Listas!$G$53,IF(W482=[15]Listas!$F$55,[15]Listas!$G$55,""))</f>
        <v>Probabilidad</v>
      </c>
      <c r="Z482" s="313" t="s">
        <v>43</v>
      </c>
      <c r="AA482" s="314">
        <f>+IF(Z482=[15]Listas!$E$46,[15]Listas!$F$46,IF(Z482=[15]Listas!$E$47,[15]Listas!$F$47,""))</f>
        <v>0.15</v>
      </c>
      <c r="AB482" s="181">
        <f>IFERROR(X482+AA482,"")</f>
        <v>0.4</v>
      </c>
      <c r="AC482" s="313" t="s">
        <v>57</v>
      </c>
      <c r="AD482" s="316" t="s">
        <v>58</v>
      </c>
      <c r="AE482" s="317" t="s">
        <v>59</v>
      </c>
      <c r="AF482" s="299" t="str">
        <f t="shared" si="70"/>
        <v>Baja</v>
      </c>
      <c r="AG482" s="141">
        <f>IF(Y482=[15]Listas!$G$53,O482-(O482*AB482),O482)</f>
        <v>0.36</v>
      </c>
      <c r="AH482" s="561">
        <f>+IF(AG491="","",AG491)</f>
        <v>0.216</v>
      </c>
      <c r="AI482" s="299" t="str">
        <f>IF(AJ482="","",IF(AJ482&lt;=20%,"Leve",IF(AJ482&lt;=40%,"Menor",IF(AJ482&lt;=60%,"Moderado",IF(AJ482&lt;=80%,"Mayor","Catastrófico")))))</f>
        <v>Moderado</v>
      </c>
      <c r="AJ482" s="141">
        <f>IF(Y482=[15]Listas!$G$55,R482-(R482*AB482),R482)</f>
        <v>0.6</v>
      </c>
      <c r="AK482" s="561">
        <f>+IF(AJ491="","",AJ491)</f>
        <v>0.6</v>
      </c>
      <c r="AL482" s="564" t="str">
        <f>+IF(AH482=0,"",IF(AH482&lt;=$BA$21,$BB$21,IF(AH482&lt;=$BA$20,$BB$20,IF(AH482&lt;=$BA$19,$BB$19,IF(AH482&lt;=$BA$18,$BB$18,IF(AH482&lt;=$BA$17,$BB$17,""))))))</f>
        <v>Baja</v>
      </c>
      <c r="AM482" s="564" t="str">
        <f>+IF(AK482=0,"",IF(AK482&lt;=$BC$15,$BC$16,IF(AK482&lt;=$BD$15,$BD$16,IF(AK482&lt;=$BE$15,$BE$16,IF(AK482&lt;=$BF$15,$BF$16,IF(AK482&lt;=$BG$15,$BG$16,""))))))</f>
        <v>Moderado</v>
      </c>
      <c r="AN482" s="564" t="str">
        <f>IF(AL482=$BB$17,IF(AM482=$BC$16,$BC$17,IF(AM482=$BD$16,$BD$17,IF(AM482=$BE$16,$BE$17,IF(AM482=$BF$16,$BF$17,IF(AM482=$BG$16,$BG$17))))),IF(AL482=$BB$18,IF(AM482=$BC$16,$BC$18,IF(AM482=$BD$16,$BD$18,IF(AM482=$BE$16,$BE$18,IF(AM482=$BF$16,$BF$18,IF(AM482=$BG$16,$BG$18))))),IF(AL482=$BB$19,IF(AM482=$BC$16,$BC$19,IF(AM482=$BD$16,$BD$19,IF(AM482=$BE$16,$BE$19,IF(AM482=$BF$16,$BF$19,IF(AM482=$BG$16,$BG$19))))),IF(AL482=$BB$20,IF(AM482=$BC$16,$BC$20,IF(AM482=$BD$16,$BD$20,IF(AM482=$BE$16,$BE$20,IF(AM482=$BF$16,$BF$20,IF(AM482=$BG$16,$BG$20))))),IF(AL482=$BB$21,IF(AM482=$BC$16,$BC$21,IF(AM482=$BD$16,$BD$21,IF(AM482=$BE$16,$BE$21,IF(AM482=$BF$16,$BF$21,IF(AM482=$BG$16,$BG$21))))),"")))))</f>
        <v>Moderado</v>
      </c>
      <c r="AO482" s="567" t="str">
        <f>IF(AP482="","",IF(AP482=[15]Listas!$F$61,[15]Listas!$G$61,IF(AP482=[15]Listas!$F$63,[15]Listas!$G$63,IF(AP482=[15]Listas!$F$64,[15]Listas!$G$64))))</f>
        <v>Requiere Plan de Acción</v>
      </c>
      <c r="AP482" s="570" t="str">
        <f>IF(AN482="","",IF(OR(AN482=[15]Listas!$E$61,AN482=[15]Listas!$E$62),[15]Listas!$F$61,IF(AN482=[15]Listas!$E$63,[15]Listas!$F$63,IF(AN482=[15]Listas!$E$64,[15]Listas!$F$64))))</f>
        <v>Aceptar o reducir el riesgo</v>
      </c>
      <c r="AQ482" s="342" t="s">
        <v>80</v>
      </c>
      <c r="AR482" s="116" t="s">
        <v>648</v>
      </c>
    </row>
    <row r="483" spans="2:44" ht="136.5" customHeight="1" thickTop="1" thickBot="1" x14ac:dyDescent="0.4">
      <c r="B483" s="537"/>
      <c r="C483" s="559"/>
      <c r="D483" s="574"/>
      <c r="E483" s="577"/>
      <c r="F483" s="625"/>
      <c r="G483" s="628"/>
      <c r="H483" s="628"/>
      <c r="I483" s="589"/>
      <c r="J483" s="589"/>
      <c r="K483" s="592"/>
      <c r="L483" s="589"/>
      <c r="M483" s="595"/>
      <c r="N483" s="598"/>
      <c r="O483" s="601"/>
      <c r="P483" s="595"/>
      <c r="Q483" s="604"/>
      <c r="R483" s="601"/>
      <c r="S483" s="286"/>
      <c r="T483" s="604"/>
      <c r="U483" s="212" t="s">
        <v>174</v>
      </c>
      <c r="V483" s="478" t="s">
        <v>649</v>
      </c>
      <c r="W483" s="378" t="s">
        <v>40</v>
      </c>
      <c r="X483" s="320">
        <f>IF(W483=[15]Listas!$B$46,[15]Listas!$C$46,IF(W483=[15]Listas!$B$47,[15]Listas!$C$47,IF(W483=[15]Listas!$B$48,[15]Listas!$C$48,"")))</f>
        <v>0.25</v>
      </c>
      <c r="Y483" s="321" t="str">
        <f>IF(OR(W483=[15]Listas!$F$53,W483=[15]Listas!$F$54),[15]Listas!$G$53,IF(W483=[15]Listas!$F$55,[15]Listas!$G$55,""))</f>
        <v>Probabilidad</v>
      </c>
      <c r="Z483" s="319" t="s">
        <v>43</v>
      </c>
      <c r="AA483" s="182">
        <f>+IF(Z483=[15]Listas!$E$46,[15]Listas!$F$46,IF(Z483=[15]Listas!$E$47,[15]Listas!$F$47,""))</f>
        <v>0.15</v>
      </c>
      <c r="AB483" s="183">
        <f>IFERROR(X483+AA483,"")</f>
        <v>0.4</v>
      </c>
      <c r="AC483" s="319" t="s">
        <v>57</v>
      </c>
      <c r="AD483" s="322" t="s">
        <v>58</v>
      </c>
      <c r="AE483" s="323" t="s">
        <v>59</v>
      </c>
      <c r="AF483" s="305" t="str">
        <f t="shared" si="70"/>
        <v>Baja</v>
      </c>
      <c r="AG483" s="145">
        <f>IF(Y483=[15]Listas!$G$53,AG482-(AG482*AB483),AG482)</f>
        <v>0.216</v>
      </c>
      <c r="AH483" s="562"/>
      <c r="AI483" s="305" t="str">
        <f t="shared" si="67"/>
        <v>Moderado</v>
      </c>
      <c r="AJ483" s="145">
        <f>IF(Y483=[15]Listas!$G$55,AJ482-(AJ482*AB483),AJ482)</f>
        <v>0.6</v>
      </c>
      <c r="AK483" s="562"/>
      <c r="AL483" s="565"/>
      <c r="AM483" s="565"/>
      <c r="AN483" s="565"/>
      <c r="AO483" s="568"/>
      <c r="AP483" s="571"/>
      <c r="AQ483" s="343" t="s">
        <v>90</v>
      </c>
      <c r="AR483" s="180" t="s">
        <v>635</v>
      </c>
    </row>
    <row r="484" spans="2:44" ht="16" hidden="1" customHeight="1" thickBot="1" x14ac:dyDescent="0.4">
      <c r="B484" s="537"/>
      <c r="C484" s="559"/>
      <c r="D484" s="574"/>
      <c r="E484" s="577"/>
      <c r="F484" s="625"/>
      <c r="G484" s="628"/>
      <c r="H484" s="628"/>
      <c r="I484" s="589"/>
      <c r="J484" s="589"/>
      <c r="K484" s="592"/>
      <c r="L484" s="589"/>
      <c r="M484" s="595"/>
      <c r="N484" s="598"/>
      <c r="O484" s="601"/>
      <c r="P484" s="595"/>
      <c r="Q484" s="604"/>
      <c r="R484" s="601"/>
      <c r="S484" s="287"/>
      <c r="T484" s="604"/>
      <c r="U484" s="142" t="s">
        <v>180</v>
      </c>
      <c r="V484" s="445"/>
      <c r="W484" s="331"/>
      <c r="X484" s="320" t="str">
        <f>IF(W484=[15]Listas!$B$46,[15]Listas!$C$46,IF(W484=[15]Listas!$B$47,[15]Listas!$C$47,IF(W484=[15]Listas!$B$48,[15]Listas!$C$48,"")))</f>
        <v/>
      </c>
      <c r="Y484" s="321" t="str">
        <f>IF(OR(W484=[15]Listas!$F$53,W484=[15]Listas!$F$54),[15]Listas!$G$53,IF(W484=[15]Listas!$F$55,[15]Listas!$G$55,""))</f>
        <v/>
      </c>
      <c r="Z484" s="319"/>
      <c r="AA484" s="182" t="str">
        <f>+IF(Z484=[15]Listas!$E$46,[15]Listas!$F$46,IF(Z484=[15]Listas!$E$47,[15]Listas!$F$47,""))</f>
        <v/>
      </c>
      <c r="AB484" s="183" t="str">
        <f>IFERROR(X484+AA484,"")</f>
        <v/>
      </c>
      <c r="AC484" s="325"/>
      <c r="AD484" s="326"/>
      <c r="AE484" s="327"/>
      <c r="AF484" s="305" t="str">
        <f t="shared" si="70"/>
        <v>Baja</v>
      </c>
      <c r="AG484" s="145">
        <f>IF(Y484=[15]Listas!$G$53,AG483-(AG483*AB484),AG483)</f>
        <v>0.216</v>
      </c>
      <c r="AH484" s="562"/>
      <c r="AI484" s="305" t="str">
        <f t="shared" si="67"/>
        <v>Moderado</v>
      </c>
      <c r="AJ484" s="145">
        <f>IF(Y484=[15]Listas!$G$55,AJ483-(AJ483*AB484),AJ483)</f>
        <v>0.6</v>
      </c>
      <c r="AK484" s="562"/>
      <c r="AL484" s="565"/>
      <c r="AM484" s="565"/>
      <c r="AN484" s="565"/>
      <c r="AO484" s="568"/>
      <c r="AP484" s="571"/>
      <c r="AQ484" s="344"/>
      <c r="AR484" s="191"/>
    </row>
    <row r="485" spans="2:44" ht="16" hidden="1" customHeight="1" x14ac:dyDescent="0.35">
      <c r="B485" s="537"/>
      <c r="C485" s="559"/>
      <c r="D485" s="574"/>
      <c r="E485" s="577"/>
      <c r="F485" s="625"/>
      <c r="G485" s="628"/>
      <c r="H485" s="628"/>
      <c r="I485" s="589"/>
      <c r="J485" s="589"/>
      <c r="K485" s="592"/>
      <c r="L485" s="589"/>
      <c r="M485" s="595"/>
      <c r="N485" s="598"/>
      <c r="O485" s="601"/>
      <c r="P485" s="595"/>
      <c r="Q485" s="604"/>
      <c r="R485" s="601"/>
      <c r="S485" s="287"/>
      <c r="T485" s="604"/>
      <c r="U485" s="142" t="s">
        <v>190</v>
      </c>
      <c r="V485" s="418"/>
      <c r="W485" s="319"/>
      <c r="X485" s="320" t="str">
        <f>IF(W485=[15]Listas!$B$46,[15]Listas!$C$46,IF(W485=[15]Listas!$B$47,[15]Listas!$C$47,IF(W485=[15]Listas!$B$48,[15]Listas!$C$48,"")))</f>
        <v/>
      </c>
      <c r="Y485" s="321" t="str">
        <f>IF(OR(W485=[15]Listas!$F$53,W485=[15]Listas!$F$54),[15]Listas!$G$53,IF(W485=[15]Listas!$F$55,[15]Listas!$G$55,""))</f>
        <v/>
      </c>
      <c r="Z485" s="319"/>
      <c r="AA485" s="182" t="str">
        <f>+IF(Z485=[15]Listas!$E$46,[15]Listas!$F$46,IF(Z485=[15]Listas!$E$47,[15]Listas!$F$47,""))</f>
        <v/>
      </c>
      <c r="AB485" s="183" t="str">
        <f t="shared" ref="AB485:AB491" si="73">IFERROR(X485+AA485,"")</f>
        <v/>
      </c>
      <c r="AC485" s="328"/>
      <c r="AD485" s="329"/>
      <c r="AE485" s="330"/>
      <c r="AF485" s="305" t="str">
        <f t="shared" si="70"/>
        <v>Baja</v>
      </c>
      <c r="AG485" s="145">
        <f>IF(Y485=[15]Listas!$G$53,AG484-(AG484*AB485),AG484)</f>
        <v>0.216</v>
      </c>
      <c r="AH485" s="562"/>
      <c r="AI485" s="305" t="str">
        <f t="shared" si="67"/>
        <v>Moderado</v>
      </c>
      <c r="AJ485" s="145">
        <f>IF(Y485=[15]Listas!$G$55,AJ484-(AJ484*AB485),AJ484)</f>
        <v>0.6</v>
      </c>
      <c r="AK485" s="562"/>
      <c r="AL485" s="565"/>
      <c r="AM485" s="565"/>
      <c r="AN485" s="565"/>
      <c r="AO485" s="568"/>
      <c r="AP485" s="571"/>
      <c r="AQ485" s="343"/>
      <c r="AR485" s="191"/>
    </row>
    <row r="486" spans="2:44" ht="16" hidden="1" customHeight="1" thickTop="1" x14ac:dyDescent="0.35">
      <c r="B486" s="537"/>
      <c r="C486" s="559"/>
      <c r="D486" s="574"/>
      <c r="E486" s="577"/>
      <c r="F486" s="625"/>
      <c r="G486" s="628"/>
      <c r="H486" s="628"/>
      <c r="I486" s="589"/>
      <c r="J486" s="589"/>
      <c r="K486" s="592"/>
      <c r="L486" s="589"/>
      <c r="M486" s="595"/>
      <c r="N486" s="598"/>
      <c r="O486" s="601"/>
      <c r="P486" s="595"/>
      <c r="Q486" s="604"/>
      <c r="R486" s="601"/>
      <c r="S486" s="287"/>
      <c r="T486" s="604"/>
      <c r="U486" s="142" t="s">
        <v>198</v>
      </c>
      <c r="V486" s="418"/>
      <c r="W486" s="331"/>
      <c r="X486" s="320" t="str">
        <f>IF(W486=[15]Listas!$B$46,[15]Listas!$C$46,IF(W486=[15]Listas!$B$47,[15]Listas!$C$47,IF(W486=[15]Listas!$B$48,[15]Listas!$C$48,"")))</f>
        <v/>
      </c>
      <c r="Y486" s="321" t="str">
        <f>IF(OR(W486=[15]Listas!$F$53,W486=[15]Listas!$F$54),[15]Listas!$G$53,IF(W486=[15]Listas!$F$55,[15]Listas!$G$55,""))</f>
        <v/>
      </c>
      <c r="Z486" s="331"/>
      <c r="AA486" s="182" t="str">
        <f>+IF(Z486=[15]Listas!$E$46,[15]Listas!$F$46,IF(Z486=[15]Listas!$E$47,[15]Listas!$F$47,""))</f>
        <v/>
      </c>
      <c r="AB486" s="183" t="str">
        <f t="shared" si="73"/>
        <v/>
      </c>
      <c r="AC486" s="319"/>
      <c r="AD486" s="322"/>
      <c r="AE486" s="323"/>
      <c r="AF486" s="305" t="str">
        <f t="shared" si="70"/>
        <v>Baja</v>
      </c>
      <c r="AG486" s="145">
        <f>IF(Y486=[15]Listas!$G$53,AG485-(AG485*AB486),AG485)</f>
        <v>0.216</v>
      </c>
      <c r="AH486" s="562"/>
      <c r="AI486" s="305" t="str">
        <f t="shared" si="67"/>
        <v>Moderado</v>
      </c>
      <c r="AJ486" s="145">
        <f>IF(Y486=[15]Listas!$G$55,AJ485-(AJ485*AB486),AJ485)</f>
        <v>0.6</v>
      </c>
      <c r="AK486" s="562"/>
      <c r="AL486" s="565"/>
      <c r="AM486" s="565"/>
      <c r="AN486" s="565"/>
      <c r="AO486" s="568"/>
      <c r="AP486" s="571"/>
      <c r="AQ486" s="343"/>
      <c r="AR486" s="191"/>
    </row>
    <row r="487" spans="2:44" ht="16" hidden="1" customHeight="1" thickTop="1" x14ac:dyDescent="0.35">
      <c r="B487" s="537"/>
      <c r="C487" s="559"/>
      <c r="D487" s="574"/>
      <c r="E487" s="577"/>
      <c r="F487" s="625"/>
      <c r="G487" s="628"/>
      <c r="H487" s="628"/>
      <c r="I487" s="589"/>
      <c r="J487" s="589"/>
      <c r="K487" s="592"/>
      <c r="L487" s="589"/>
      <c r="M487" s="595"/>
      <c r="N487" s="598"/>
      <c r="O487" s="601"/>
      <c r="P487" s="595"/>
      <c r="Q487" s="604"/>
      <c r="R487" s="601"/>
      <c r="S487" s="288"/>
      <c r="T487" s="604"/>
      <c r="U487" s="142" t="s">
        <v>208</v>
      </c>
      <c r="V487" s="418"/>
      <c r="W487" s="331"/>
      <c r="X487" s="320" t="str">
        <f>IF(W487=[15]Listas!$B$46,[15]Listas!$C$46,IF(W487=[15]Listas!$B$47,[15]Listas!$C$47,IF(W487=[15]Listas!$B$48,[15]Listas!$C$48,"")))</f>
        <v/>
      </c>
      <c r="Y487" s="321" t="str">
        <f>IF(OR(W487=[15]Listas!$F$53,W487=[15]Listas!$F$54),[15]Listas!$G$53,IF(W487=[15]Listas!$F$55,[15]Listas!$G$55,""))</f>
        <v/>
      </c>
      <c r="Z487" s="331"/>
      <c r="AA487" s="182" t="str">
        <f>+IF(Z487=[15]Listas!$E$46,[15]Listas!$F$46,IF(Z487=[15]Listas!$E$47,[15]Listas!$F$47,""))</f>
        <v/>
      </c>
      <c r="AB487" s="183" t="str">
        <f t="shared" si="73"/>
        <v/>
      </c>
      <c r="AC487" s="319"/>
      <c r="AD487" s="322"/>
      <c r="AE487" s="323"/>
      <c r="AF487" s="305" t="str">
        <f t="shared" si="70"/>
        <v>Baja</v>
      </c>
      <c r="AG487" s="145">
        <f>IF(Y487=[15]Listas!$G$53,AG486-(AG486*AB487),AG486)</f>
        <v>0.216</v>
      </c>
      <c r="AH487" s="562"/>
      <c r="AI487" s="305" t="str">
        <f t="shared" si="67"/>
        <v>Moderado</v>
      </c>
      <c r="AJ487" s="145">
        <f>IF(Y487=[15]Listas!$G$55,AJ486-(AJ486*AB487),AJ486)</f>
        <v>0.6</v>
      </c>
      <c r="AK487" s="562"/>
      <c r="AL487" s="565"/>
      <c r="AM487" s="565"/>
      <c r="AN487" s="565"/>
      <c r="AO487" s="568"/>
      <c r="AP487" s="571"/>
      <c r="AQ487" s="343"/>
      <c r="AR487" s="191"/>
    </row>
    <row r="488" spans="2:44" ht="16" hidden="1" customHeight="1" thickTop="1" x14ac:dyDescent="0.35">
      <c r="B488" s="537"/>
      <c r="C488" s="559"/>
      <c r="D488" s="574"/>
      <c r="E488" s="577"/>
      <c r="F488" s="625"/>
      <c r="G488" s="628"/>
      <c r="H488" s="628"/>
      <c r="I488" s="589"/>
      <c r="J488" s="589"/>
      <c r="K488" s="592"/>
      <c r="L488" s="589"/>
      <c r="M488" s="595"/>
      <c r="N488" s="598"/>
      <c r="O488" s="601"/>
      <c r="P488" s="595"/>
      <c r="Q488" s="604"/>
      <c r="R488" s="601"/>
      <c r="S488" s="289"/>
      <c r="T488" s="604"/>
      <c r="U488" s="142" t="s">
        <v>215</v>
      </c>
      <c r="V488" s="418"/>
      <c r="W488" s="331"/>
      <c r="X488" s="320" t="str">
        <f>IF(W488=[15]Listas!$B$46,[15]Listas!$C$46,IF(W488=[15]Listas!$B$47,[15]Listas!$C$47,IF(W488=[15]Listas!$B$48,[15]Listas!$C$48,"")))</f>
        <v/>
      </c>
      <c r="Y488" s="321" t="str">
        <f>IF(OR(W488=[15]Listas!$F$53,W488=[15]Listas!$F$54),[15]Listas!$G$53,IF(W488=[15]Listas!$F$55,[15]Listas!$G$55,""))</f>
        <v/>
      </c>
      <c r="Z488" s="331"/>
      <c r="AA488" s="182" t="str">
        <f>+IF(Z488=[15]Listas!$E$46,[15]Listas!$F$46,IF(Z488=[15]Listas!$E$47,[15]Listas!$F$47,""))</f>
        <v/>
      </c>
      <c r="AB488" s="183" t="str">
        <f t="shared" si="73"/>
        <v/>
      </c>
      <c r="AC488" s="319"/>
      <c r="AD488" s="322"/>
      <c r="AE488" s="323"/>
      <c r="AF488" s="305" t="str">
        <f t="shared" si="70"/>
        <v>Baja</v>
      </c>
      <c r="AG488" s="145">
        <f>IF(Y488=[15]Listas!$G$53,AG487-(AG487*AB488),AG487)</f>
        <v>0.216</v>
      </c>
      <c r="AH488" s="562"/>
      <c r="AI488" s="305" t="str">
        <f t="shared" si="67"/>
        <v>Moderado</v>
      </c>
      <c r="AJ488" s="145">
        <f>IF(Y488=[15]Listas!$G$55,AJ487-(AJ487*AB488),AJ487)</f>
        <v>0.6</v>
      </c>
      <c r="AK488" s="562"/>
      <c r="AL488" s="565"/>
      <c r="AM488" s="565"/>
      <c r="AN488" s="565"/>
      <c r="AO488" s="568"/>
      <c r="AP488" s="571"/>
      <c r="AQ488" s="344"/>
      <c r="AR488" s="191"/>
    </row>
    <row r="489" spans="2:44" ht="16" hidden="1" customHeight="1" thickTop="1" x14ac:dyDescent="0.35">
      <c r="B489" s="537"/>
      <c r="C489" s="559"/>
      <c r="D489" s="574"/>
      <c r="E489" s="577"/>
      <c r="F489" s="625"/>
      <c r="G489" s="628"/>
      <c r="H489" s="628"/>
      <c r="I489" s="589"/>
      <c r="J489" s="589"/>
      <c r="K489" s="592"/>
      <c r="L489" s="589"/>
      <c r="M489" s="595"/>
      <c r="N489" s="598"/>
      <c r="O489" s="601"/>
      <c r="P489" s="595"/>
      <c r="Q489" s="604"/>
      <c r="R489" s="601"/>
      <c r="S489" s="289"/>
      <c r="T489" s="604"/>
      <c r="U489" s="142" t="s">
        <v>220</v>
      </c>
      <c r="V489" s="418"/>
      <c r="W489" s="331"/>
      <c r="X489" s="320" t="str">
        <f>IF(W489=[15]Listas!$B$46,[15]Listas!$C$46,IF(W489=[15]Listas!$B$47,[15]Listas!$C$47,IF(W489=[15]Listas!$B$48,[15]Listas!$C$48,"")))</f>
        <v/>
      </c>
      <c r="Y489" s="321" t="str">
        <f>IF(OR(W489=[15]Listas!$F$53,W489=[15]Listas!$F$54),[15]Listas!$G$53,IF(W489=[15]Listas!$F$55,[15]Listas!$G$55,""))</f>
        <v/>
      </c>
      <c r="Z489" s="331"/>
      <c r="AA489" s="182" t="str">
        <f>+IF(Z489=[15]Listas!$E$46,[15]Listas!$F$46,IF(Z489=[15]Listas!$E$47,[15]Listas!$F$47,""))</f>
        <v/>
      </c>
      <c r="AB489" s="183" t="str">
        <f t="shared" si="73"/>
        <v/>
      </c>
      <c r="AC489" s="319"/>
      <c r="AD489" s="322"/>
      <c r="AE489" s="323"/>
      <c r="AF489" s="305" t="str">
        <f t="shared" si="70"/>
        <v>Baja</v>
      </c>
      <c r="AG489" s="145">
        <f>IF(Y489=[15]Listas!$G$53,AG488-(AG488*AB489),AG488)</f>
        <v>0.216</v>
      </c>
      <c r="AH489" s="562"/>
      <c r="AI489" s="305" t="str">
        <f t="shared" si="67"/>
        <v>Moderado</v>
      </c>
      <c r="AJ489" s="145">
        <f>IF(Y489=[15]Listas!$G$55,AJ488-(AJ488*AB489),AJ488)</f>
        <v>0.6</v>
      </c>
      <c r="AK489" s="562"/>
      <c r="AL489" s="565"/>
      <c r="AM489" s="565"/>
      <c r="AN489" s="565"/>
      <c r="AO489" s="568"/>
      <c r="AP489" s="571"/>
      <c r="AQ489" s="345"/>
      <c r="AR489" s="191"/>
    </row>
    <row r="490" spans="2:44" ht="16" hidden="1" customHeight="1" thickTop="1" x14ac:dyDescent="0.35">
      <c r="B490" s="537"/>
      <c r="C490" s="559"/>
      <c r="D490" s="574"/>
      <c r="E490" s="577"/>
      <c r="F490" s="625"/>
      <c r="G490" s="628"/>
      <c r="H490" s="628"/>
      <c r="I490" s="589"/>
      <c r="J490" s="589"/>
      <c r="K490" s="592"/>
      <c r="L490" s="589"/>
      <c r="M490" s="595"/>
      <c r="N490" s="598"/>
      <c r="O490" s="601"/>
      <c r="P490" s="595"/>
      <c r="Q490" s="604"/>
      <c r="R490" s="601"/>
      <c r="S490" s="289"/>
      <c r="T490" s="604"/>
      <c r="U490" s="142" t="s">
        <v>223</v>
      </c>
      <c r="V490" s="418"/>
      <c r="W490" s="331"/>
      <c r="X490" s="320" t="str">
        <f>IF(W490=[15]Listas!$B$46,[15]Listas!$C$46,IF(W490=[15]Listas!$B$47,[15]Listas!$C$47,IF(W490=[15]Listas!$B$48,[15]Listas!$C$48,"")))</f>
        <v/>
      </c>
      <c r="Y490" s="321" t="str">
        <f>IF(OR(W490=[15]Listas!$F$53,W490=[15]Listas!$F$54),[15]Listas!$G$53,IF(W490=[15]Listas!$F$55,[15]Listas!$G$55,""))</f>
        <v/>
      </c>
      <c r="Z490" s="331"/>
      <c r="AA490" s="182" t="str">
        <f>+IF(Z490=[15]Listas!$E$46,[15]Listas!$F$46,IF(Z490=[15]Listas!$E$47,[15]Listas!$F$47,""))</f>
        <v/>
      </c>
      <c r="AB490" s="183" t="str">
        <f t="shared" si="73"/>
        <v/>
      </c>
      <c r="AC490" s="319"/>
      <c r="AD490" s="322"/>
      <c r="AE490" s="323"/>
      <c r="AF490" s="305" t="str">
        <f t="shared" si="70"/>
        <v>Baja</v>
      </c>
      <c r="AG490" s="145">
        <f>IF(Y490=[15]Listas!$G$53,AG489-(AG489*AB490),AG489)</f>
        <v>0.216</v>
      </c>
      <c r="AH490" s="562"/>
      <c r="AI490" s="305" t="str">
        <f t="shared" si="67"/>
        <v>Moderado</v>
      </c>
      <c r="AJ490" s="145">
        <f>IF(Y490=[15]Listas!$G$55,AJ489-(AJ489*AB490),AJ489)</f>
        <v>0.6</v>
      </c>
      <c r="AK490" s="562"/>
      <c r="AL490" s="565"/>
      <c r="AM490" s="565"/>
      <c r="AN490" s="565"/>
      <c r="AO490" s="568"/>
      <c r="AP490" s="571"/>
      <c r="AQ490" s="343"/>
      <c r="AR490" s="191"/>
    </row>
    <row r="491" spans="2:44" ht="16" hidden="1" customHeight="1" thickTop="1" x14ac:dyDescent="0.35">
      <c r="B491" s="537"/>
      <c r="C491" s="559"/>
      <c r="D491" s="575"/>
      <c r="E491" s="578"/>
      <c r="F491" s="626"/>
      <c r="G491" s="629"/>
      <c r="H491" s="629"/>
      <c r="I491" s="590"/>
      <c r="J491" s="590"/>
      <c r="K491" s="593"/>
      <c r="L491" s="590"/>
      <c r="M491" s="596"/>
      <c r="N491" s="599"/>
      <c r="O491" s="602"/>
      <c r="P491" s="596"/>
      <c r="Q491" s="605"/>
      <c r="R491" s="602"/>
      <c r="S491" s="293"/>
      <c r="T491" s="605"/>
      <c r="U491" s="202" t="s">
        <v>224</v>
      </c>
      <c r="V491" s="416"/>
      <c r="W491" s="335"/>
      <c r="X491" s="336" t="str">
        <f>IF(W491=[15]Listas!$B$46,[15]Listas!$C$46,IF(W491=[15]Listas!$B$47,[15]Listas!$C$47,IF(W491=[15]Listas!$B$48,[15]Listas!$C$48,"")))</f>
        <v/>
      </c>
      <c r="Y491" s="337" t="str">
        <f>IF(OR(W491=[15]Listas!$F$53,W491=[15]Listas!$F$54),[15]Listas!$G$53,IF(W491=[15]Listas!$F$55,[15]Listas!$G$55,""))</f>
        <v/>
      </c>
      <c r="Z491" s="335"/>
      <c r="AA491" s="186" t="str">
        <f>+IF(Z491=[15]Listas!$E$46,[15]Listas!$F$46,IF(Z491=[15]Listas!$E$47,[15]Listas!$F$47,""))</f>
        <v/>
      </c>
      <c r="AB491" s="187" t="str">
        <f t="shared" si="73"/>
        <v/>
      </c>
      <c r="AC491" s="338"/>
      <c r="AD491" s="339"/>
      <c r="AE491" s="340"/>
      <c r="AF491" s="311" t="str">
        <f t="shared" si="70"/>
        <v>Baja</v>
      </c>
      <c r="AG491" s="179">
        <f>IF(Y491=[15]Listas!$G$53,AG490-(AG490*AB491),AG490)</f>
        <v>0.216</v>
      </c>
      <c r="AH491" s="563"/>
      <c r="AI491" s="311" t="str">
        <f t="shared" si="67"/>
        <v>Moderado</v>
      </c>
      <c r="AJ491" s="179">
        <f>IF(Y491=[15]Listas!$G$55,AJ490-(AJ490*AB491),AJ490)</f>
        <v>0.6</v>
      </c>
      <c r="AK491" s="563"/>
      <c r="AL491" s="566"/>
      <c r="AM491" s="566"/>
      <c r="AN491" s="566"/>
      <c r="AO491" s="569"/>
      <c r="AP491" s="572"/>
      <c r="AQ491" s="359"/>
      <c r="AR491" s="192"/>
    </row>
    <row r="492" spans="2:44" ht="85" thickTop="1" thickBot="1" x14ac:dyDescent="0.4">
      <c r="B492" s="537"/>
      <c r="C492" s="559"/>
      <c r="D492" s="573" t="s">
        <v>650</v>
      </c>
      <c r="E492" s="576" t="s">
        <v>5</v>
      </c>
      <c r="F492" s="624" t="s">
        <v>651</v>
      </c>
      <c r="G492" s="627" t="s">
        <v>652</v>
      </c>
      <c r="H492" s="627" t="s">
        <v>653</v>
      </c>
      <c r="I492" s="588" t="s">
        <v>20</v>
      </c>
      <c r="J492" s="588" t="s">
        <v>22</v>
      </c>
      <c r="K492" s="591"/>
      <c r="L492" s="588" t="s">
        <v>186</v>
      </c>
      <c r="M492" s="594" t="s">
        <v>214</v>
      </c>
      <c r="N492" s="597" t="str">
        <f>+IF(M492="","",IF(M492=$BO$15,$BN$15,IF(M492=$BO$16,$BN$16,IF(M492=$BO$17,$BN$17,IF(M492=$BO$18,$BN$18,IF(M492=$BO$19,$BN$19))))))</f>
        <v>Media</v>
      </c>
      <c r="O492" s="600">
        <f>+IF(M492="","",IF(M492=$BO$15,$BR$15,IF(M492=$BO$16,$BR$16,IF(M492=$BO$17,$BR$17,IF(M492=$BO$18,$BR$18,IF(M492=$BO$19,$BR$19))))))</f>
        <v>0.6</v>
      </c>
      <c r="P492" s="594" t="s">
        <v>212</v>
      </c>
      <c r="Q492" s="603" t="str">
        <f>+IF(P492="","",IF(P492='[15]Mapa de Calor inherente'!$AF$6,'[15]Mapa de Calor inherente'!$AD$6,IF(P492='[15]Mapa de Calor inherente'!$AF$7,'[15]Mapa de Calor inherente'!$AD$7,IF(P492='[15]Mapa de Calor inherente'!$AF$8,'[15]Mapa de Calor inherente'!$AD$8,IF(P492='[15]Mapa de Calor inherente'!$AF$9,'[15]Mapa de Calor inherente'!$AD$9,IF(P492='[15]Mapa de Calor inherente'!$AF$10,'[15]Mapa de Calor inherente'!$AD$10,IF(P492='[15]Mapa de Calor inherente'!$AG$6,'[15]Mapa de Calor inherente'!$AD$6,IF(P492='[15]Mapa de Calor inherente'!$AG$7,'[15]Mapa de Calor inherente'!$AD$7,IF(P492='[15]Mapa de Calor inherente'!$AG$8,'[15]Mapa de Calor inherente'!$AD$8,IF(P492='[15]Mapa de Calor inherente'!$AG$9,'[15]Mapa de Calor inherente'!$AD$9,IF(P492='[15]Mapa de Calor inherente'!$AG$10,'[15]Mapa de Calor inherente'!$AD$10,IF(P492='[15]Mapa de Calor inherente'!$AD$8,'[15]Mapa de Calor inherente'!$AD$8,IF(P492='[15]Mapa de Calor inherente'!$AD$9,'[15]Mapa de Calor inherente'!$AD$9,IF(P492='[15]Mapa de Calor inherente'!$AD$10,'[15]Mapa de Calor inherente'!$AD$10))))))))))))))</f>
        <v>Moderado</v>
      </c>
      <c r="R492" s="600">
        <f>+IF(P492="","",IF(P492='[15]Mapa de Calor inherente'!$AF$6,'[15]Mapa de Calor inherente'!$AE$6,IF(P492='[15]Mapa de Calor inherente'!$AF$7,'[15]Mapa de Calor inherente'!$AE$7,IF(P492='[15]Mapa de Calor inherente'!$AF$8,'[15]Mapa de Calor inherente'!$AE$8,IF(P492='[15]Mapa de Calor inherente'!$AF$9,'[15]Mapa de Calor inherente'!$AE$9,IF(P492='[15]Mapa de Calor inherente'!$AF$10,'[15]Mapa de Calor inherente'!$AE$10,IF(P492='[15]Mapa de Calor inherente'!$AG$6,'[15]Mapa de Calor inherente'!$AE$6,IF(P492='[15]Mapa de Calor inherente'!$AG$7,'[15]Mapa de Calor inherente'!$AE$7,IF(P492='[15]Mapa de Calor inherente'!$AG$8,'[15]Mapa de Calor inherente'!$AE$8,IF(P492='[15]Mapa de Calor inherente'!$AG$9,'[15]Mapa de Calor inherente'!$AE$9,IF(P492='[15]Mapa de Calor inherente'!$AG$10,'[15]Mapa de Calor inherente'!$AE$10,IF(P492='[15]Mapa de Calor inherente'!$AD$8,'[15]Mapa de Calor inherente'!$AE$8,IF(P492='[15]Mapa de Calor inherente'!$AD$9,'[15]Mapa de Calor inherente'!$AE$9,IF(P492='[15]Mapa de Calor inherente'!$AD$10,'[15]Mapa de Calor inherente'!$AE$10))))))))))))))</f>
        <v>0.6</v>
      </c>
      <c r="S492" s="292" t="e">
        <f>IF(N492="","",IF(R492="","",(N492*R492)))</f>
        <v>#VALUE!</v>
      </c>
      <c r="T492" s="603" t="str">
        <f>+IF(N492=$BB$17,IF(Q492=$BC$16,$BC$17,IF(Q492=$BD$16,$BD$17,IF(Q492=$BE$16,$BE$17,IF(Q492=$BF$16,$BF$17,IF(Q492=$BG$16,$BG$17))))),IF(N492=$BB$18,IF(Q492=$BC$16,$BC$18,IF(Q492=$BD$16,$BD$18,IF(Q492=$BE$16,$BE$18,IF(Q492=$BF$16,$BF$18,IF(Q492=$BG$16,$BG$18))))),IF(N492=$BB$19,IF(Q492=$BC$16,$BC$19,IF(Q492=$BD$16,$BD$19,IF(Q492=$BE$16,$BE$19,IF(Q492=$BF$16,$BF$19,IF(Q492=$BG$16,$BG$19))))),IF(N492=$BB$20,IF(Q492=$BC$16,$BC$20,IF(Q492=$BD$16,$BD$20,IF(Q492=$BE$16,$BE$20,IF(Q492=$BF$16,$BF$20,IF(Q492=$BG$16,$BG$20))))),IF(N492=$BB$21,IF(Q492=$BC$16,$BC$21,IF(Q492=$BD$16,$BD$21,IF(Q492=$BE$16,$BE$21,IF(Q492=$BF$16,$BF$21,IF(Q492=$BG$16,$BG$21))))),"")))))</f>
        <v>Moderado</v>
      </c>
      <c r="U492" s="241" t="s">
        <v>171</v>
      </c>
      <c r="V492" s="454" t="s">
        <v>654</v>
      </c>
      <c r="W492" s="377" t="s">
        <v>40</v>
      </c>
      <c r="X492" s="314">
        <f>IF(W492=[15]Listas!$B$46,[15]Listas!$C$46,IF(W492=[15]Listas!$B$47,[15]Listas!$C$47,IF(W492=[15]Listas!$B$48,[15]Listas!$C$48,"")))</f>
        <v>0.25</v>
      </c>
      <c r="Y492" s="315" t="str">
        <f>IF(OR(W492=[15]Listas!$F$53,W492=[15]Listas!$F$54),[15]Listas!$G$53,IF(W492=[15]Listas!$F$55,[15]Listas!$G$55,""))</f>
        <v>Probabilidad</v>
      </c>
      <c r="Z492" s="313" t="s">
        <v>43</v>
      </c>
      <c r="AA492" s="314">
        <f>+IF(Z492=[15]Listas!$E$46,[15]Listas!$F$46,IF(Z492=[15]Listas!$E$47,[15]Listas!$F$47,""))</f>
        <v>0.15</v>
      </c>
      <c r="AB492" s="181">
        <f>IFERROR(X492+AA492,"")</f>
        <v>0.4</v>
      </c>
      <c r="AC492" s="313" t="s">
        <v>57</v>
      </c>
      <c r="AD492" s="316" t="s">
        <v>58</v>
      </c>
      <c r="AE492" s="317" t="s">
        <v>59</v>
      </c>
      <c r="AF492" s="299" t="str">
        <f t="shared" si="70"/>
        <v>Baja</v>
      </c>
      <c r="AG492" s="141">
        <f>IF(Y492=[15]Listas!$G$53,O492-(O492*AB492),O492)</f>
        <v>0.36</v>
      </c>
      <c r="AH492" s="561">
        <f>+IF(AG501="","",AG501)</f>
        <v>7.7759999999999996E-2</v>
      </c>
      <c r="AI492" s="299" t="str">
        <f>IF(AJ492="","",IF(AJ492&lt;=20%,"Leve",IF(AJ492&lt;=40%,"Menor",IF(AJ492&lt;=60%,"Moderado",IF(AJ492&lt;=80%,"Mayor","Catastrófico")))))</f>
        <v>Moderado</v>
      </c>
      <c r="AJ492" s="141">
        <f>IF(Y492=[15]Listas!$G$55,R492-(R492*AB492),R492)</f>
        <v>0.6</v>
      </c>
      <c r="AK492" s="561">
        <f>+IF(AJ501="","",AJ501)</f>
        <v>0.6</v>
      </c>
      <c r="AL492" s="564" t="str">
        <f>+IF(AH492=0,"",IF(AH492&lt;=$BA$21,$BB$21,IF(AH492&lt;=$BA$20,$BB$20,IF(AH492&lt;=$BA$19,$BB$19,IF(AH492&lt;=$BA$18,$BB$18,IF(AH492&lt;=$BA$17,$BB$17,""))))))</f>
        <v>Muy Baja</v>
      </c>
      <c r="AM492" s="564" t="str">
        <f>+IF(AK492=0,"",IF(AK492&lt;=$BC$15,$BC$16,IF(AK492&lt;=$BD$15,$BD$16,IF(AK492&lt;=$BE$15,$BE$16,IF(AK492&lt;=$BF$15,$BF$16,IF(AK492&lt;=$BG$15,$BG$16,""))))))</f>
        <v>Moderado</v>
      </c>
      <c r="AN492" s="564" t="str">
        <f>IF(AL492=$BB$17,IF(AM492=$BC$16,$BC$17,IF(AM492=$BD$16,$BD$17,IF(AM492=$BE$16,$BE$17,IF(AM492=$BF$16,$BF$17,IF(AM492=$BG$16,$BG$17))))),IF(AL492=$BB$18,IF(AM492=$BC$16,$BC$18,IF(AM492=$BD$16,$BD$18,IF(AM492=$BE$16,$BE$18,IF(AM492=$BF$16,$BF$18,IF(AM492=$BG$16,$BG$18))))),IF(AL492=$BB$19,IF(AM492=$BC$16,$BC$19,IF(AM492=$BD$16,$BD$19,IF(AM492=$BE$16,$BE$19,IF(AM492=$BF$16,$BF$19,IF(AM492=$BG$16,$BG$19))))),IF(AL492=$BB$20,IF(AM492=$BC$16,$BC$20,IF(AM492=$BD$16,$BD$20,IF(AM492=$BE$16,$BE$20,IF(AM492=$BF$16,$BF$20,IF(AM492=$BG$16,$BG$20))))),IF(AL492=$BB$21,IF(AM492=$BC$16,$BC$21,IF(AM492=$BD$16,$BD$21,IF(AM492=$BE$16,$BE$21,IF(AM492=$BF$16,$BF$21,IF(AM492=$BG$16,$BG$21))))),"")))))</f>
        <v>Moderado</v>
      </c>
      <c r="AO492" s="567" t="str">
        <f>IF(AP492="","",IF(AP492=[15]Listas!$F$61,[15]Listas!$G$61,IF(AP492=[15]Listas!$F$63,[15]Listas!$G$63,IF(AP492=[15]Listas!$F$64,[15]Listas!$G$64))))</f>
        <v>Requiere Plan de Acción</v>
      </c>
      <c r="AP492" s="570" t="str">
        <f>IF(AN492="","",IF(OR(AN492=[15]Listas!$E$61,AN492=[15]Listas!$E$62),[15]Listas!$F$61,IF(AN492=[15]Listas!$E$63,[15]Listas!$F$63,IF(AN492=[15]Listas!$E$64,[15]Listas!$F$64))))</f>
        <v>Aceptar o reducir el riesgo</v>
      </c>
      <c r="AQ492" s="358" t="s">
        <v>80</v>
      </c>
      <c r="AR492" s="405" t="s">
        <v>655</v>
      </c>
    </row>
    <row r="493" spans="2:44" ht="57" thickTop="1" thickBot="1" x14ac:dyDescent="0.4">
      <c r="B493" s="537"/>
      <c r="C493" s="559"/>
      <c r="D493" s="574"/>
      <c r="E493" s="577"/>
      <c r="F493" s="625"/>
      <c r="G493" s="628"/>
      <c r="H493" s="628"/>
      <c r="I493" s="589"/>
      <c r="J493" s="589"/>
      <c r="K493" s="592"/>
      <c r="L493" s="589"/>
      <c r="M493" s="595"/>
      <c r="N493" s="598"/>
      <c r="O493" s="601"/>
      <c r="P493" s="595"/>
      <c r="Q493" s="604"/>
      <c r="R493" s="601"/>
      <c r="S493" s="286"/>
      <c r="T493" s="604"/>
      <c r="U493" s="212" t="s">
        <v>174</v>
      </c>
      <c r="V493" s="478" t="s">
        <v>656</v>
      </c>
      <c r="W493" s="378" t="s">
        <v>40</v>
      </c>
      <c r="X493" s="320">
        <f>IF(W493=[15]Listas!$B$46,[15]Listas!$C$46,IF(W493=[15]Listas!$B$47,[15]Listas!$C$47,IF(W493=[15]Listas!$B$48,[15]Listas!$C$48,"")))</f>
        <v>0.25</v>
      </c>
      <c r="Y493" s="321" t="str">
        <f>IF(OR(W493=[15]Listas!$F$53,W493=[15]Listas!$F$54),[15]Listas!$G$53,IF(W493=[15]Listas!$F$55,[15]Listas!$G$55,""))</f>
        <v>Probabilidad</v>
      </c>
      <c r="Z493" s="319" t="s">
        <v>43</v>
      </c>
      <c r="AA493" s="182">
        <f>+IF(Z493=[15]Listas!$E$46,[15]Listas!$F$46,IF(Z493=[15]Listas!$E$47,[15]Listas!$F$47,""))</f>
        <v>0.15</v>
      </c>
      <c r="AB493" s="183">
        <f>IFERROR(X493+AA493,"")</f>
        <v>0.4</v>
      </c>
      <c r="AC493" s="319" t="s">
        <v>57</v>
      </c>
      <c r="AD493" s="322" t="s">
        <v>58</v>
      </c>
      <c r="AE493" s="323" t="s">
        <v>59</v>
      </c>
      <c r="AF493" s="305" t="str">
        <f t="shared" si="70"/>
        <v>Baja</v>
      </c>
      <c r="AG493" s="145">
        <f>IF(Y493=[15]Listas!$G$53,AG492-(AG492*AB493),AG492)</f>
        <v>0.216</v>
      </c>
      <c r="AH493" s="562"/>
      <c r="AI493" s="305" t="str">
        <f t="shared" si="67"/>
        <v>Moderado</v>
      </c>
      <c r="AJ493" s="145">
        <f>IF(Y493=[15]Listas!$G$55,AJ492-(AJ492*AB493),AJ492)</f>
        <v>0.6</v>
      </c>
      <c r="AK493" s="562"/>
      <c r="AL493" s="565"/>
      <c r="AM493" s="565"/>
      <c r="AN493" s="565"/>
      <c r="AO493" s="568"/>
      <c r="AP493" s="571"/>
      <c r="AQ493" s="384" t="s">
        <v>80</v>
      </c>
      <c r="AR493" s="406" t="s">
        <v>657</v>
      </c>
    </row>
    <row r="494" spans="2:44" ht="71" thickTop="1" thickBot="1" x14ac:dyDescent="0.4">
      <c r="B494" s="537"/>
      <c r="C494" s="559"/>
      <c r="D494" s="574"/>
      <c r="E494" s="577"/>
      <c r="F494" s="625"/>
      <c r="G494" s="628"/>
      <c r="H494" s="628"/>
      <c r="I494" s="589"/>
      <c r="J494" s="589"/>
      <c r="K494" s="592"/>
      <c r="L494" s="589"/>
      <c r="M494" s="595"/>
      <c r="N494" s="598"/>
      <c r="O494" s="601"/>
      <c r="P494" s="595"/>
      <c r="Q494" s="604"/>
      <c r="R494" s="601"/>
      <c r="S494" s="287"/>
      <c r="T494" s="604"/>
      <c r="U494" s="212" t="s">
        <v>180</v>
      </c>
      <c r="V494" s="478" t="s">
        <v>658</v>
      </c>
      <c r="W494" s="383" t="s">
        <v>40</v>
      </c>
      <c r="X494" s="320">
        <f>IF(W494=[15]Listas!$B$46,[15]Listas!$C$46,IF(W494=[15]Listas!$B$47,[15]Listas!$C$47,IF(W494=[15]Listas!$B$48,[15]Listas!$C$48,"")))</f>
        <v>0.25</v>
      </c>
      <c r="Y494" s="321" t="str">
        <f>IF(OR(W494=[15]Listas!$F$53,W494=[15]Listas!$F$54),[15]Listas!$G$53,IF(W494=[15]Listas!$F$55,[15]Listas!$G$55,""))</f>
        <v>Probabilidad</v>
      </c>
      <c r="Z494" s="319" t="s">
        <v>43</v>
      </c>
      <c r="AA494" s="182">
        <f>+IF(Z494=[15]Listas!$E$46,[15]Listas!$F$46,IF(Z494=[15]Listas!$E$47,[15]Listas!$F$47,""))</f>
        <v>0.15</v>
      </c>
      <c r="AB494" s="183">
        <f>IFERROR(X494+AA494,"")</f>
        <v>0.4</v>
      </c>
      <c r="AC494" s="319" t="s">
        <v>57</v>
      </c>
      <c r="AD494" s="322" t="s">
        <v>58</v>
      </c>
      <c r="AE494" s="323" t="s">
        <v>59</v>
      </c>
      <c r="AF494" s="305" t="str">
        <f t="shared" si="70"/>
        <v>Muy baja</v>
      </c>
      <c r="AG494" s="145">
        <f>IF(Y494=[15]Listas!$G$53,AG493-(AG493*AB494),AG493)</f>
        <v>0.12959999999999999</v>
      </c>
      <c r="AH494" s="562"/>
      <c r="AI494" s="305" t="str">
        <f t="shared" si="67"/>
        <v>Moderado</v>
      </c>
      <c r="AJ494" s="145">
        <f>IF(Y494=[15]Listas!$G$55,AJ493-(AJ493*AB494),AJ493)</f>
        <v>0.6</v>
      </c>
      <c r="AK494" s="562"/>
      <c r="AL494" s="565"/>
      <c r="AM494" s="565"/>
      <c r="AN494" s="565"/>
      <c r="AO494" s="568"/>
      <c r="AP494" s="571"/>
      <c r="AQ494" s="384" t="s">
        <v>80</v>
      </c>
      <c r="AR494" s="114" t="s">
        <v>659</v>
      </c>
    </row>
    <row r="495" spans="2:44" ht="57" thickTop="1" thickBot="1" x14ac:dyDescent="0.4">
      <c r="B495" s="537"/>
      <c r="C495" s="559"/>
      <c r="D495" s="574"/>
      <c r="E495" s="577"/>
      <c r="F495" s="625"/>
      <c r="G495" s="628"/>
      <c r="H495" s="628"/>
      <c r="I495" s="589"/>
      <c r="J495" s="589"/>
      <c r="K495" s="592"/>
      <c r="L495" s="589"/>
      <c r="M495" s="595"/>
      <c r="N495" s="598"/>
      <c r="O495" s="601"/>
      <c r="P495" s="595"/>
      <c r="Q495" s="604"/>
      <c r="R495" s="601"/>
      <c r="S495" s="287"/>
      <c r="T495" s="604"/>
      <c r="U495" s="212" t="s">
        <v>190</v>
      </c>
      <c r="V495" s="478" t="s">
        <v>660</v>
      </c>
      <c r="W495" s="378" t="s">
        <v>40</v>
      </c>
      <c r="X495" s="320">
        <f>IF(W495=[15]Listas!$B$46,[15]Listas!$C$46,IF(W495=[15]Listas!$B$47,[15]Listas!$C$47,IF(W495=[15]Listas!$B$48,[15]Listas!$C$48,"")))</f>
        <v>0.25</v>
      </c>
      <c r="Y495" s="321" t="str">
        <f>IF(OR(W495=[15]Listas!$F$53,W495=[15]Listas!$F$54),[15]Listas!$G$53,IF(W495=[15]Listas!$F$55,[15]Listas!$G$55,""))</f>
        <v>Probabilidad</v>
      </c>
      <c r="Z495" s="319" t="s">
        <v>43</v>
      </c>
      <c r="AA495" s="182">
        <f>+IF(Z495=[15]Listas!$E$46,[15]Listas!$F$46,IF(Z495=[15]Listas!$E$47,[15]Listas!$F$47,""))</f>
        <v>0.15</v>
      </c>
      <c r="AB495" s="183">
        <f t="shared" ref="AB495:AB501" si="74">IFERROR(X495+AA495,"")</f>
        <v>0.4</v>
      </c>
      <c r="AC495" s="319" t="s">
        <v>57</v>
      </c>
      <c r="AD495" s="322" t="s">
        <v>58</v>
      </c>
      <c r="AE495" s="323" t="s">
        <v>59</v>
      </c>
      <c r="AF495" s="305" t="str">
        <f t="shared" si="70"/>
        <v>Muy baja</v>
      </c>
      <c r="AG495" s="145">
        <f>IF(Y495=[15]Listas!$G$53,AG494-(AG494*AB495),AG494)</f>
        <v>7.7759999999999996E-2</v>
      </c>
      <c r="AH495" s="562"/>
      <c r="AI495" s="305" t="str">
        <f t="shared" si="67"/>
        <v>Moderado</v>
      </c>
      <c r="AJ495" s="145">
        <f>IF(Y495=[15]Listas!$G$55,AJ494-(AJ494*AB495),AJ494)</f>
        <v>0.6</v>
      </c>
      <c r="AK495" s="562"/>
      <c r="AL495" s="565"/>
      <c r="AM495" s="565"/>
      <c r="AN495" s="565"/>
      <c r="AO495" s="568"/>
      <c r="AP495" s="571"/>
      <c r="AQ495" s="348" t="s">
        <v>90</v>
      </c>
      <c r="AR495" s="115" t="s">
        <v>661</v>
      </c>
    </row>
    <row r="496" spans="2:44" ht="16" hidden="1" customHeight="1" x14ac:dyDescent="0.35">
      <c r="B496" s="537"/>
      <c r="C496" s="280"/>
      <c r="D496" s="574"/>
      <c r="E496" s="577"/>
      <c r="F496" s="625"/>
      <c r="G496" s="628"/>
      <c r="H496" s="628"/>
      <c r="I496" s="589"/>
      <c r="J496" s="589"/>
      <c r="K496" s="592"/>
      <c r="L496" s="589"/>
      <c r="M496" s="595"/>
      <c r="N496" s="598"/>
      <c r="O496" s="601"/>
      <c r="P496" s="595"/>
      <c r="Q496" s="604"/>
      <c r="R496" s="601"/>
      <c r="S496" s="287"/>
      <c r="T496" s="604"/>
      <c r="U496" s="142" t="s">
        <v>198</v>
      </c>
      <c r="V496" s="445"/>
      <c r="W496" s="331"/>
      <c r="X496" s="320" t="str">
        <f>IF(W496=[15]Listas!$B$46,[15]Listas!$C$46,IF(W496=[15]Listas!$B$47,[15]Listas!$C$47,IF(W496=[15]Listas!$B$48,[15]Listas!$C$48,"")))</f>
        <v/>
      </c>
      <c r="Y496" s="321" t="str">
        <f>IF(OR(W496=[15]Listas!$F$53,W496=[15]Listas!$F$54),[15]Listas!$G$53,IF(W496=[15]Listas!$F$55,[15]Listas!$G$55,""))</f>
        <v/>
      </c>
      <c r="Z496" s="331"/>
      <c r="AA496" s="182" t="str">
        <f>+IF(Z496=[15]Listas!$E$46,[15]Listas!$F$46,IF(Z496=[15]Listas!$E$47,[15]Listas!$F$47,""))</f>
        <v/>
      </c>
      <c r="AB496" s="183" t="str">
        <f t="shared" si="74"/>
        <v/>
      </c>
      <c r="AC496" s="319"/>
      <c r="AD496" s="322"/>
      <c r="AE496" s="323"/>
      <c r="AF496" s="305" t="str">
        <f t="shared" si="70"/>
        <v>Muy baja</v>
      </c>
      <c r="AG496" s="145">
        <f>IF(Y496=[15]Listas!$G$53,AG495-(AG495*AB496),AG495)</f>
        <v>7.7759999999999996E-2</v>
      </c>
      <c r="AH496" s="562"/>
      <c r="AI496" s="305" t="str">
        <f t="shared" si="67"/>
        <v>Moderado</v>
      </c>
      <c r="AJ496" s="145">
        <f>IF(Y496=[15]Listas!$G$55,AJ495-(AJ495*AB496),AJ495)</f>
        <v>0.6</v>
      </c>
      <c r="AK496" s="562"/>
      <c r="AL496" s="565"/>
      <c r="AM496" s="565"/>
      <c r="AN496" s="565"/>
      <c r="AO496" s="568"/>
      <c r="AP496" s="571"/>
      <c r="AQ496" s="343"/>
      <c r="AR496" s="199"/>
    </row>
    <row r="497" spans="2:44" ht="16" hidden="1" customHeight="1" x14ac:dyDescent="0.35">
      <c r="B497" s="537"/>
      <c r="C497" s="280"/>
      <c r="D497" s="574"/>
      <c r="E497" s="577"/>
      <c r="F497" s="625"/>
      <c r="G497" s="628"/>
      <c r="H497" s="628"/>
      <c r="I497" s="589"/>
      <c r="J497" s="589"/>
      <c r="K497" s="592"/>
      <c r="L497" s="589"/>
      <c r="M497" s="595"/>
      <c r="N497" s="598"/>
      <c r="O497" s="601"/>
      <c r="P497" s="595"/>
      <c r="Q497" s="604"/>
      <c r="R497" s="601"/>
      <c r="S497" s="288"/>
      <c r="T497" s="604"/>
      <c r="U497" s="142" t="s">
        <v>208</v>
      </c>
      <c r="V497" s="418"/>
      <c r="W497" s="331"/>
      <c r="X497" s="320" t="str">
        <f>IF(W497=[15]Listas!$B$46,[15]Listas!$C$46,IF(W497=[15]Listas!$B$47,[15]Listas!$C$47,IF(W497=[15]Listas!$B$48,[15]Listas!$C$48,"")))</f>
        <v/>
      </c>
      <c r="Y497" s="321" t="str">
        <f>IF(OR(W497=[15]Listas!$F$53,W497=[15]Listas!$F$54),[15]Listas!$G$53,IF(W497=[15]Listas!$F$55,[15]Listas!$G$55,""))</f>
        <v/>
      </c>
      <c r="Z497" s="331"/>
      <c r="AA497" s="182" t="str">
        <f>+IF(Z497=[15]Listas!$E$46,[15]Listas!$F$46,IF(Z497=[15]Listas!$E$47,[15]Listas!$F$47,""))</f>
        <v/>
      </c>
      <c r="AB497" s="183" t="str">
        <f t="shared" si="74"/>
        <v/>
      </c>
      <c r="AC497" s="319"/>
      <c r="AD497" s="322"/>
      <c r="AE497" s="323"/>
      <c r="AF497" s="305" t="str">
        <f t="shared" si="70"/>
        <v>Muy baja</v>
      </c>
      <c r="AG497" s="145">
        <f>IF(Y497=[15]Listas!$G$53,AG496-(AG496*AB497),AG496)</f>
        <v>7.7759999999999996E-2</v>
      </c>
      <c r="AH497" s="562"/>
      <c r="AI497" s="305" t="str">
        <f t="shared" si="67"/>
        <v>Moderado</v>
      </c>
      <c r="AJ497" s="145">
        <f>IF(Y497=[15]Listas!$G$55,AJ496-(AJ496*AB497),AJ496)</f>
        <v>0.6</v>
      </c>
      <c r="AK497" s="562"/>
      <c r="AL497" s="565"/>
      <c r="AM497" s="565"/>
      <c r="AN497" s="565"/>
      <c r="AO497" s="568"/>
      <c r="AP497" s="571"/>
      <c r="AQ497" s="343"/>
      <c r="AR497" s="191"/>
    </row>
    <row r="498" spans="2:44" ht="16" hidden="1" customHeight="1" thickTop="1" x14ac:dyDescent="0.35">
      <c r="B498" s="537"/>
      <c r="C498" s="280"/>
      <c r="D498" s="574"/>
      <c r="E498" s="577"/>
      <c r="F498" s="625"/>
      <c r="G498" s="628"/>
      <c r="H498" s="628"/>
      <c r="I498" s="589"/>
      <c r="J498" s="589"/>
      <c r="K498" s="592"/>
      <c r="L498" s="589"/>
      <c r="M498" s="595"/>
      <c r="N498" s="598"/>
      <c r="O498" s="601"/>
      <c r="P498" s="595"/>
      <c r="Q498" s="604"/>
      <c r="R498" s="601"/>
      <c r="S498" s="289"/>
      <c r="T498" s="604"/>
      <c r="U498" s="142" t="s">
        <v>215</v>
      </c>
      <c r="V498" s="418"/>
      <c r="W498" s="331"/>
      <c r="X498" s="320" t="str">
        <f>IF(W498=[15]Listas!$B$46,[15]Listas!$C$46,IF(W498=[15]Listas!$B$47,[15]Listas!$C$47,IF(W498=[15]Listas!$B$48,[15]Listas!$C$48,"")))</f>
        <v/>
      </c>
      <c r="Y498" s="321" t="str">
        <f>IF(OR(W498=[15]Listas!$F$53,W498=[15]Listas!$F$54),[15]Listas!$G$53,IF(W498=[15]Listas!$F$55,[15]Listas!$G$55,""))</f>
        <v/>
      </c>
      <c r="Z498" s="331"/>
      <c r="AA498" s="182" t="str">
        <f>+IF(Z498=[15]Listas!$E$46,[15]Listas!$F$46,IF(Z498=[15]Listas!$E$47,[15]Listas!$F$47,""))</f>
        <v/>
      </c>
      <c r="AB498" s="183" t="str">
        <f t="shared" si="74"/>
        <v/>
      </c>
      <c r="AC498" s="319"/>
      <c r="AD498" s="322"/>
      <c r="AE498" s="323"/>
      <c r="AF498" s="305" t="str">
        <f t="shared" si="70"/>
        <v>Muy baja</v>
      </c>
      <c r="AG498" s="145">
        <f>IF(Y498=[15]Listas!$G$53,AG497-(AG497*AB498),AG497)</f>
        <v>7.7759999999999996E-2</v>
      </c>
      <c r="AH498" s="562"/>
      <c r="AI498" s="305" t="str">
        <f t="shared" si="67"/>
        <v>Moderado</v>
      </c>
      <c r="AJ498" s="145">
        <f>IF(Y498=[15]Listas!$G$55,AJ497-(AJ497*AB498),AJ497)</f>
        <v>0.6</v>
      </c>
      <c r="AK498" s="562"/>
      <c r="AL498" s="565"/>
      <c r="AM498" s="565"/>
      <c r="AN498" s="565"/>
      <c r="AO498" s="568"/>
      <c r="AP498" s="571"/>
      <c r="AQ498" s="344"/>
      <c r="AR498" s="191"/>
    </row>
    <row r="499" spans="2:44" ht="16" hidden="1" customHeight="1" thickTop="1" x14ac:dyDescent="0.35">
      <c r="B499" s="537"/>
      <c r="C499" s="280"/>
      <c r="D499" s="574"/>
      <c r="E499" s="577"/>
      <c r="F499" s="625"/>
      <c r="G499" s="628"/>
      <c r="H499" s="628"/>
      <c r="I499" s="589"/>
      <c r="J499" s="589"/>
      <c r="K499" s="592"/>
      <c r="L499" s="589"/>
      <c r="M499" s="595"/>
      <c r="N499" s="598"/>
      <c r="O499" s="601"/>
      <c r="P499" s="595"/>
      <c r="Q499" s="604"/>
      <c r="R499" s="601"/>
      <c r="S499" s="289"/>
      <c r="T499" s="604"/>
      <c r="U499" s="142" t="s">
        <v>220</v>
      </c>
      <c r="V499" s="418"/>
      <c r="W499" s="331"/>
      <c r="X499" s="320" t="str">
        <f>IF(W499=[15]Listas!$B$46,[15]Listas!$C$46,IF(W499=[15]Listas!$B$47,[15]Listas!$C$47,IF(W499=[15]Listas!$B$48,[15]Listas!$C$48,"")))</f>
        <v/>
      </c>
      <c r="Y499" s="321" t="str">
        <f>IF(OR(W499=[15]Listas!$F$53,W499=[15]Listas!$F$54),[15]Listas!$G$53,IF(W499=[15]Listas!$F$55,[15]Listas!$G$55,""))</f>
        <v/>
      </c>
      <c r="Z499" s="331"/>
      <c r="AA499" s="182" t="str">
        <f>+IF(Z499=[15]Listas!$E$46,[15]Listas!$F$46,IF(Z499=[15]Listas!$E$47,[15]Listas!$F$47,""))</f>
        <v/>
      </c>
      <c r="AB499" s="183" t="str">
        <f t="shared" si="74"/>
        <v/>
      </c>
      <c r="AC499" s="319"/>
      <c r="AD499" s="322"/>
      <c r="AE499" s="323"/>
      <c r="AF499" s="305" t="str">
        <f t="shared" si="70"/>
        <v>Muy baja</v>
      </c>
      <c r="AG499" s="145">
        <f>IF(Y499=[15]Listas!$G$53,AG498-(AG498*AB499),AG498)</f>
        <v>7.7759999999999996E-2</v>
      </c>
      <c r="AH499" s="562"/>
      <c r="AI499" s="305" t="str">
        <f t="shared" si="67"/>
        <v>Moderado</v>
      </c>
      <c r="AJ499" s="145">
        <f>IF(Y499=[15]Listas!$G$55,AJ498-(AJ498*AB499),AJ498)</f>
        <v>0.6</v>
      </c>
      <c r="AK499" s="562"/>
      <c r="AL499" s="565"/>
      <c r="AM499" s="565"/>
      <c r="AN499" s="565"/>
      <c r="AO499" s="568"/>
      <c r="AP499" s="571"/>
      <c r="AQ499" s="345"/>
      <c r="AR499" s="191"/>
    </row>
    <row r="500" spans="2:44" ht="16" hidden="1" customHeight="1" thickTop="1" x14ac:dyDescent="0.35">
      <c r="B500" s="537"/>
      <c r="C500" s="280"/>
      <c r="D500" s="574"/>
      <c r="E500" s="577"/>
      <c r="F500" s="625"/>
      <c r="G500" s="628"/>
      <c r="H500" s="628"/>
      <c r="I500" s="589"/>
      <c r="J500" s="589"/>
      <c r="K500" s="592"/>
      <c r="L500" s="589"/>
      <c r="M500" s="595"/>
      <c r="N500" s="598"/>
      <c r="O500" s="601"/>
      <c r="P500" s="595"/>
      <c r="Q500" s="604"/>
      <c r="R500" s="601"/>
      <c r="S500" s="289"/>
      <c r="T500" s="604"/>
      <c r="U500" s="142" t="s">
        <v>223</v>
      </c>
      <c r="V500" s="418"/>
      <c r="W500" s="331"/>
      <c r="X500" s="320" t="str">
        <f>IF(W500=[15]Listas!$B$46,[15]Listas!$C$46,IF(W500=[15]Listas!$B$47,[15]Listas!$C$47,IF(W500=[15]Listas!$B$48,[15]Listas!$C$48,"")))</f>
        <v/>
      </c>
      <c r="Y500" s="321" t="str">
        <f>IF(OR(W500=[15]Listas!$F$53,W500=[15]Listas!$F$54),[15]Listas!$G$53,IF(W500=[15]Listas!$F$55,[15]Listas!$G$55,""))</f>
        <v/>
      </c>
      <c r="Z500" s="331"/>
      <c r="AA500" s="182" t="str">
        <f>+IF(Z500=[15]Listas!$E$46,[15]Listas!$F$46,IF(Z500=[15]Listas!$E$47,[15]Listas!$F$47,""))</f>
        <v/>
      </c>
      <c r="AB500" s="183" t="str">
        <f t="shared" si="74"/>
        <v/>
      </c>
      <c r="AC500" s="319"/>
      <c r="AD500" s="322"/>
      <c r="AE500" s="323"/>
      <c r="AF500" s="305" t="str">
        <f t="shared" si="70"/>
        <v>Muy baja</v>
      </c>
      <c r="AG500" s="145">
        <f>IF(Y500=[15]Listas!$G$53,AG499-(AG499*AB500),AG499)</f>
        <v>7.7759999999999996E-2</v>
      </c>
      <c r="AH500" s="562"/>
      <c r="AI500" s="305" t="str">
        <f t="shared" si="67"/>
        <v>Moderado</v>
      </c>
      <c r="AJ500" s="145">
        <f>IF(Y500=[15]Listas!$G$55,AJ499-(AJ499*AB500),AJ499)</f>
        <v>0.6</v>
      </c>
      <c r="AK500" s="562"/>
      <c r="AL500" s="565"/>
      <c r="AM500" s="565"/>
      <c r="AN500" s="565"/>
      <c r="AO500" s="568"/>
      <c r="AP500" s="571"/>
      <c r="AQ500" s="345"/>
      <c r="AR500" s="191"/>
    </row>
    <row r="501" spans="2:44" ht="16" hidden="1" customHeight="1" thickTop="1" x14ac:dyDescent="0.35">
      <c r="B501" s="537"/>
      <c r="C501" s="280"/>
      <c r="D501" s="575"/>
      <c r="E501" s="578"/>
      <c r="F501" s="626"/>
      <c r="G501" s="629"/>
      <c r="H501" s="629"/>
      <c r="I501" s="590"/>
      <c r="J501" s="590"/>
      <c r="K501" s="593"/>
      <c r="L501" s="590"/>
      <c r="M501" s="596"/>
      <c r="N501" s="599"/>
      <c r="O501" s="602"/>
      <c r="P501" s="596"/>
      <c r="Q501" s="605"/>
      <c r="R501" s="602"/>
      <c r="S501" s="293"/>
      <c r="T501" s="605"/>
      <c r="U501" s="202" t="s">
        <v>224</v>
      </c>
      <c r="V501" s="416"/>
      <c r="W501" s="335"/>
      <c r="X501" s="336" t="str">
        <f>IF(W501=[15]Listas!$B$46,[15]Listas!$C$46,IF(W501=[15]Listas!$B$47,[15]Listas!$C$47,IF(W501=[15]Listas!$B$48,[15]Listas!$C$48,"")))</f>
        <v/>
      </c>
      <c r="Y501" s="337" t="str">
        <f>IF(OR(W501=[15]Listas!$F$53,W501=[15]Listas!$F$54),[15]Listas!$G$53,IF(W501=[15]Listas!$F$55,[15]Listas!$G$55,""))</f>
        <v/>
      </c>
      <c r="Z501" s="335"/>
      <c r="AA501" s="186" t="str">
        <f>+IF(Z501=[15]Listas!$E$46,[15]Listas!$F$46,IF(Z501=[15]Listas!$E$47,[15]Listas!$F$47,""))</f>
        <v/>
      </c>
      <c r="AB501" s="187" t="str">
        <f t="shared" si="74"/>
        <v/>
      </c>
      <c r="AC501" s="338"/>
      <c r="AD501" s="339"/>
      <c r="AE501" s="340"/>
      <c r="AF501" s="311" t="str">
        <f t="shared" si="70"/>
        <v>Muy baja</v>
      </c>
      <c r="AG501" s="179">
        <f>IF(Y501=[15]Listas!$G$53,AG500-(AG500*AB501),AG500)</f>
        <v>7.7759999999999996E-2</v>
      </c>
      <c r="AH501" s="563"/>
      <c r="AI501" s="311" t="str">
        <f t="shared" si="67"/>
        <v>Moderado</v>
      </c>
      <c r="AJ501" s="179">
        <f>IF(Y501=[15]Listas!$G$55,AJ500-(AJ500*AB501),AJ500)</f>
        <v>0.6</v>
      </c>
      <c r="AK501" s="563"/>
      <c r="AL501" s="566"/>
      <c r="AM501" s="566"/>
      <c r="AN501" s="566"/>
      <c r="AO501" s="569"/>
      <c r="AP501" s="572"/>
      <c r="AQ501" s="346"/>
      <c r="AR501" s="192"/>
    </row>
    <row r="502" spans="2:44" ht="57" thickTop="1" thickBot="1" x14ac:dyDescent="0.4">
      <c r="B502" s="537"/>
      <c r="C502" s="559" t="s">
        <v>104</v>
      </c>
      <c r="D502" s="573" t="s">
        <v>662</v>
      </c>
      <c r="E502" s="576" t="s">
        <v>4</v>
      </c>
      <c r="F502" s="871" t="s">
        <v>663</v>
      </c>
      <c r="G502" s="627" t="s">
        <v>664</v>
      </c>
      <c r="H502" s="627" t="s">
        <v>665</v>
      </c>
      <c r="I502" s="588" t="s">
        <v>28</v>
      </c>
      <c r="J502" s="588" t="s">
        <v>22</v>
      </c>
      <c r="K502" s="591" t="s">
        <v>666</v>
      </c>
      <c r="L502" s="588" t="s">
        <v>168</v>
      </c>
      <c r="M502" s="594" t="s">
        <v>197</v>
      </c>
      <c r="N502" s="597" t="str">
        <f>+IF(M502="","",IF(M502=$BO$15,$BN$15,IF(M502=$BO$16,$BN$16,IF(M502=$BO$17,$BN$17,IF(M502=$BO$18,$BN$18,IF(M502=$BO$19,$BN$19))))))</f>
        <v>Muy Baja</v>
      </c>
      <c r="O502" s="600">
        <f>+IF(M502="","",IF(M502=$BO$15,$BR$15,IF(M502=$BO$16,$BR$16,IF(M502=$BO$17,$BR$17,IF(M502=$BO$18,$BR$18,IF(M502=$BO$19,$BR$19))))))</f>
        <v>0.2</v>
      </c>
      <c r="P502" s="594" t="s">
        <v>212</v>
      </c>
      <c r="Q502" s="603" t="str">
        <f>+IF(P502="","",IF(P502='[16]Mapa de Calor inherente'!$AF$6,'[16]Mapa de Calor inherente'!$AD$6,IF(P502='[16]Mapa de Calor inherente'!$AF$7,'[16]Mapa de Calor inherente'!$AD$7,IF(P502='[16]Mapa de Calor inherente'!$AF$8,'[16]Mapa de Calor inherente'!$AD$8,IF(P502='[16]Mapa de Calor inherente'!$AF$9,'[16]Mapa de Calor inherente'!$AD$9,IF(P502='[16]Mapa de Calor inherente'!$AF$10,'[16]Mapa de Calor inherente'!$AD$10,IF(P502='[16]Mapa de Calor inherente'!$AG$6,'[16]Mapa de Calor inherente'!$AD$6,IF(P502='[16]Mapa de Calor inherente'!$AG$7,'[16]Mapa de Calor inherente'!$AD$7,IF(P502='[16]Mapa de Calor inherente'!$AG$8,'[16]Mapa de Calor inherente'!$AD$8,IF(P502='[16]Mapa de Calor inherente'!$AG$9,'[16]Mapa de Calor inherente'!$AD$9,IF(P502='[16]Mapa de Calor inherente'!$AG$10,'[16]Mapa de Calor inherente'!$AD$10,IF(P502='[16]Mapa de Calor inherente'!$AD$8,'[16]Mapa de Calor inherente'!$AD$8,IF(P502='[16]Mapa de Calor inherente'!$AD$9,'[16]Mapa de Calor inherente'!$AD$9,IF(P502='[16]Mapa de Calor inherente'!$AD$10,'[16]Mapa de Calor inherente'!$AD$10))))))))))))))</f>
        <v>Moderado</v>
      </c>
      <c r="R502" s="600">
        <f>+IF(P502="","",IF(P502='[16]Mapa de Calor inherente'!$AF$6,'[16]Mapa de Calor inherente'!$AE$6,IF(P502='[16]Mapa de Calor inherente'!$AF$7,'[16]Mapa de Calor inherente'!$AE$7,IF(P502='[16]Mapa de Calor inherente'!$AF$8,'[16]Mapa de Calor inherente'!$AE$8,IF(P502='[16]Mapa de Calor inherente'!$AF$9,'[16]Mapa de Calor inherente'!$AE$9,IF(P502='[16]Mapa de Calor inherente'!$AF$10,'[16]Mapa de Calor inherente'!$AE$10,IF(P502='[16]Mapa de Calor inherente'!$AG$6,'[16]Mapa de Calor inherente'!$AE$6,IF(P502='[16]Mapa de Calor inherente'!$AG$7,'[16]Mapa de Calor inherente'!$AE$7,IF(P502='[16]Mapa de Calor inherente'!$AG$8,'[16]Mapa de Calor inherente'!$AE$8,IF(P502='[16]Mapa de Calor inherente'!$AG$9,'[16]Mapa de Calor inherente'!$AE$9,IF(P502='[16]Mapa de Calor inherente'!$AG$10,'[16]Mapa de Calor inherente'!$AE$10,IF(P502='[16]Mapa de Calor inherente'!$AD$8,'[16]Mapa de Calor inherente'!$AE$8,IF(P502='[16]Mapa de Calor inherente'!$AD$9,'[16]Mapa de Calor inherente'!$AE$9,IF(P502='[16]Mapa de Calor inherente'!$AD$10,'[16]Mapa de Calor inherente'!$AE$10))))))))))))))</f>
        <v>0.6</v>
      </c>
      <c r="S502" s="292"/>
      <c r="T502" s="606" t="str">
        <f>+IF(N502=$BB$17,IF(Q502=$BC$16,$BC$17,IF(Q502=$BD$16,$BD$17,IF(Q502=$BE$16,$BE$17,IF(Q502=$BF$16,$BF$17,IF(Q502=$BG$16,$BG$17))))),IF(N502=$BB$18,IF(Q502=$BC$16,$BC$18,IF(Q502=$BD$16,$BD$18,IF(Q502=$BE$16,$BE$18,IF(Q502=$BF$16,$BF$18,IF(Q502=$BG$16,$BG$18))))),IF(N502=$BB$19,IF(Q502=$BC$16,$BC$19,IF(Q502=$BD$16,$BD$19,IF(Q502=$BE$16,$BE$19,IF(Q502=$BF$16,$BF$19,IF(Q502=$BG$16,$BG$19))))),IF(N502=$BB$20,IF(Q502=$BC$16,$BC$20,IF(Q502=$BD$16,$BD$20,IF(Q502=$BE$16,$BE$20,IF(Q502=$BF$16,$BF$20,IF(Q502=$BG$16,$BG$20))))),IF(N502=$BB$21,IF(Q502=$BC$16,$BC$21,IF(Q502=$BD$16,$BD$21,IF(Q502=$BE$16,$BE$21,IF(Q502=$BF$16,$BF$21,IF(Q502=$BG$16,$BG$21))))),"")))))</f>
        <v>Moderado</v>
      </c>
      <c r="U502" s="139" t="s">
        <v>171</v>
      </c>
      <c r="V502" s="479" t="s">
        <v>667</v>
      </c>
      <c r="W502" s="313" t="s">
        <v>40</v>
      </c>
      <c r="X502" s="314">
        <f>IF(W502=[16]Listas!$B$46,[16]Listas!$C$46,IF(W502=[16]Listas!$B$47,[16]Listas!$C$47,IF(W502=[16]Listas!$B$48,[16]Listas!$C$48,"")))</f>
        <v>0.25</v>
      </c>
      <c r="Y502" s="315" t="str">
        <f>IF(OR(W502=[16]Listas!$F$53,W502=[16]Listas!$F$54),[16]Listas!$G$53,IF(W502=[16]Listas!$F$55,[16]Listas!$G$55,""))</f>
        <v>Probabilidad</v>
      </c>
      <c r="Z502" s="313" t="s">
        <v>43</v>
      </c>
      <c r="AA502" s="314">
        <f>+IF(Z502=[16]Listas!$E$46,[16]Listas!$F$46,IF(Z502=[16]Listas!$E$47,[16]Listas!$F$47,""))</f>
        <v>0.15</v>
      </c>
      <c r="AB502" s="181">
        <f>IFERROR(X502+AA502,"")</f>
        <v>0.4</v>
      </c>
      <c r="AC502" s="313" t="s">
        <v>57</v>
      </c>
      <c r="AD502" s="316" t="s">
        <v>58</v>
      </c>
      <c r="AE502" s="317" t="s">
        <v>59</v>
      </c>
      <c r="AF502" s="299" t="str">
        <f t="shared" si="70"/>
        <v>Muy baja</v>
      </c>
      <c r="AG502" s="141">
        <f>IF(Y502=[16]Listas!$G$53,O502-(O502*AB502),O502)</f>
        <v>0.12</v>
      </c>
      <c r="AH502" s="561">
        <f>+IF(AG511="","",AG511)</f>
        <v>4.3199999999999995E-2</v>
      </c>
      <c r="AI502" s="299" t="str">
        <f>IF(AJ502="","",IF(AJ502&lt;=20%,"Leve",IF(AJ502&lt;=40%,"Menor",IF(AJ502&lt;=60%,"Moderado",IF(AJ502&lt;=80%,"Mayor","Catastrófico")))))</f>
        <v>Moderado</v>
      </c>
      <c r="AJ502" s="141">
        <f>IF(Y502=[16]Listas!$G$55,R502-(R502*AB502),R502)</f>
        <v>0.6</v>
      </c>
      <c r="AK502" s="561">
        <f>+IF(AJ511="","",AJ511)</f>
        <v>0.6</v>
      </c>
      <c r="AL502" s="564" t="str">
        <f>+IF(AH502=0,"",IF(AH502&lt;=$BA$21,$BB$21,IF(AH502&lt;=$BA$20,$BB$20,IF(AH502&lt;=$BA$19,$BB$19,IF(AH502&lt;=$BA$18,$BB$18,IF(AH502&lt;=$BA$17,$BB$17,""))))))</f>
        <v>Muy Baja</v>
      </c>
      <c r="AM502" s="564" t="str">
        <f>+IF(AK502=0,"",IF(AK502&lt;=$BC$15,$BC$16,IF(AK502&lt;=$BD$15,$BD$16,IF(AK502&lt;=$BE$15,$BE$16,IF(AK502&lt;=$BF$15,$BF$16,IF(AK502&lt;=$BG$15,$BG$16,""))))))</f>
        <v>Moderado</v>
      </c>
      <c r="AN502" s="564" t="str">
        <f>IF(AL502=$BB$17,IF(AM502=$BC$16,$BC$17,IF(AM502=$BD$16,$BD$17,IF(AM502=$BE$16,$BE$17,IF(AM502=$BF$16,$BF$17,IF(AM502=$BG$16,$BG$17))))),IF(AL502=$BB$18,IF(AM502=$BC$16,$BC$18,IF(AM502=$BD$16,$BD$18,IF(AM502=$BE$16,$BE$18,IF(AM502=$BF$16,$BF$18,IF(AM502=$BG$16,$BG$18))))),IF(AL502=$BB$19,IF(AM502=$BC$16,$BC$19,IF(AM502=$BD$16,$BD$19,IF(AM502=$BE$16,$BE$19,IF(AM502=$BF$16,$BF$19,IF(AM502=$BG$16,$BG$19))))),IF(AL502=$BB$20,IF(AM502=$BC$16,$BC$20,IF(AM502=$BD$16,$BD$20,IF(AM502=$BE$16,$BE$20,IF(AM502=$BF$16,$BF$20,IF(AM502=$BG$16,$BG$20))))),IF(AL502=$BB$21,IF(AM502=$BC$16,$BC$21,IF(AM502=$BD$16,$BD$21,IF(AM502=$BE$16,$BE$21,IF(AM502=$BF$16,$BF$21,IF(AM502=$BG$16,$BG$21))))),"")))))</f>
        <v>Moderado</v>
      </c>
      <c r="AO502" s="567" t="str">
        <f>IF(AP502="","",IF(AP502=[16]Listas!$F$61,[16]Listas!$G$61,IF(AP502=[16]Listas!$F$63,[16]Listas!$G$63,IF(AP502=[16]Listas!$F$64,[16]Listas!$G$64))))</f>
        <v>Requiere Plan de Acción</v>
      </c>
      <c r="AP502" s="570" t="str">
        <f>IF(AN502="","",IF(OR(AN502=[16]Listas!$E$61,AN502=[16]Listas!$E$62),[16]Listas!$F$61,IF(AN502=[16]Listas!$E$63,[16]Listas!$F$63,IF(AN502=[16]Listas!$E$64,[16]Listas!$F$64))))</f>
        <v>Aceptar o reducir el riesgo</v>
      </c>
      <c r="AQ502" s="318" t="s">
        <v>80</v>
      </c>
      <c r="AR502" s="116" t="s">
        <v>668</v>
      </c>
    </row>
    <row r="503" spans="2:44" ht="138" customHeight="1" thickTop="1" thickBot="1" x14ac:dyDescent="0.4">
      <c r="B503" s="537"/>
      <c r="C503" s="559"/>
      <c r="D503" s="574"/>
      <c r="E503" s="577"/>
      <c r="F503" s="872"/>
      <c r="G503" s="628"/>
      <c r="H503" s="628"/>
      <c r="I503" s="589"/>
      <c r="J503" s="589"/>
      <c r="K503" s="592"/>
      <c r="L503" s="589"/>
      <c r="M503" s="595"/>
      <c r="N503" s="598"/>
      <c r="O503" s="601"/>
      <c r="P503" s="595"/>
      <c r="Q503" s="604"/>
      <c r="R503" s="601"/>
      <c r="S503" s="286"/>
      <c r="T503" s="607"/>
      <c r="U503" s="142" t="s">
        <v>174</v>
      </c>
      <c r="V503" s="480" t="s">
        <v>669</v>
      </c>
      <c r="W503" s="319" t="s">
        <v>40</v>
      </c>
      <c r="X503" s="320">
        <f>IF(W503=[16]Listas!$B$46,[16]Listas!$C$46,IF(W503=[16]Listas!$B$47,[16]Listas!$C$47,IF(W503=[16]Listas!$B$48,[16]Listas!$C$48,"")))</f>
        <v>0.25</v>
      </c>
      <c r="Y503" s="321" t="str">
        <f>IF(OR(W503=[16]Listas!$F$53,W503=[16]Listas!$F$54),[16]Listas!$G$53,IF(W503=[16]Listas!$F$55,[16]Listas!$G$55,""))</f>
        <v>Probabilidad</v>
      </c>
      <c r="Z503" s="319" t="s">
        <v>43</v>
      </c>
      <c r="AA503" s="182">
        <f>+IF(Z503=[16]Listas!$E$46,[16]Listas!$F$46,IF(Z503=[16]Listas!$E$47,[16]Listas!$F$47,""))</f>
        <v>0.15</v>
      </c>
      <c r="AB503" s="183">
        <f>IFERROR(X503+AA503,"")</f>
        <v>0.4</v>
      </c>
      <c r="AC503" s="319" t="s">
        <v>57</v>
      </c>
      <c r="AD503" s="322" t="s">
        <v>58</v>
      </c>
      <c r="AE503" s="323" t="s">
        <v>59</v>
      </c>
      <c r="AF503" s="305" t="str">
        <f t="shared" si="70"/>
        <v>Muy baja</v>
      </c>
      <c r="AG503" s="145">
        <f>IF(Y503=[16]Listas!$G$53,AG502-(AG502*AB503),AG502)</f>
        <v>7.1999999999999995E-2</v>
      </c>
      <c r="AH503" s="562"/>
      <c r="AI503" s="305" t="str">
        <f t="shared" ref="AI503:AI531" si="75">IF(AJ503="","",IF(AJ503&lt;=20%,"Leve",IF(AJ503&lt;=40%,"Menor",IF(AJ503&lt;=60%,"Moderado",IF(AJ503&lt;=80%,"Mayor","Catastrófico")))))</f>
        <v>Moderado</v>
      </c>
      <c r="AJ503" s="145">
        <f>IF(Y503=[16]Listas!$G$55,AJ502-(AJ502*AB503),AJ502)</f>
        <v>0.6</v>
      </c>
      <c r="AK503" s="562"/>
      <c r="AL503" s="565"/>
      <c r="AM503" s="565"/>
      <c r="AN503" s="565"/>
      <c r="AO503" s="568"/>
      <c r="AP503" s="571"/>
      <c r="AQ503" s="324" t="s">
        <v>90</v>
      </c>
      <c r="AR503" s="244" t="s">
        <v>670</v>
      </c>
    </row>
    <row r="504" spans="2:44" ht="73" customHeight="1" thickTop="1" thickBot="1" x14ac:dyDescent="0.4">
      <c r="B504" s="537"/>
      <c r="C504" s="559"/>
      <c r="D504" s="574"/>
      <c r="E504" s="577"/>
      <c r="F504" s="872"/>
      <c r="G504" s="628"/>
      <c r="H504" s="628"/>
      <c r="I504" s="589"/>
      <c r="J504" s="589"/>
      <c r="K504" s="592"/>
      <c r="L504" s="589"/>
      <c r="M504" s="595"/>
      <c r="N504" s="598"/>
      <c r="O504" s="601"/>
      <c r="P504" s="595"/>
      <c r="Q504" s="604"/>
      <c r="R504" s="601"/>
      <c r="S504" s="287"/>
      <c r="T504" s="607"/>
      <c r="U504" s="142" t="s">
        <v>180</v>
      </c>
      <c r="V504" s="431" t="s">
        <v>671</v>
      </c>
      <c r="W504" s="319" t="s">
        <v>40</v>
      </c>
      <c r="X504" s="320">
        <f>IF(W504=[16]Listas!$B$46,[16]Listas!$C$46,IF(W504=[16]Listas!$B$47,[16]Listas!$C$47,IF(W504=[16]Listas!$B$48,[16]Listas!$C$48,"")))</f>
        <v>0.25</v>
      </c>
      <c r="Y504" s="321" t="str">
        <f>IF(OR(W504=[16]Listas!$F$53,W504=[16]Listas!$F$54),[16]Listas!$G$53,IF(W504=[16]Listas!$F$55,[16]Listas!$G$55,""))</f>
        <v>Probabilidad</v>
      </c>
      <c r="Z504" s="319" t="s">
        <v>43</v>
      </c>
      <c r="AA504" s="182">
        <f>+IF(Z504=[16]Listas!$E$46,[16]Listas!$F$46,IF(Z504=[16]Listas!$E$47,[16]Listas!$F$47,""))</f>
        <v>0.15</v>
      </c>
      <c r="AB504" s="183">
        <f>IFERROR(X504+AA504,"")</f>
        <v>0.4</v>
      </c>
      <c r="AC504" s="319" t="s">
        <v>57</v>
      </c>
      <c r="AD504" s="322" t="s">
        <v>58</v>
      </c>
      <c r="AE504" s="323" t="s">
        <v>59</v>
      </c>
      <c r="AF504" s="305" t="str">
        <f t="shared" si="70"/>
        <v>Muy baja</v>
      </c>
      <c r="AG504" s="145">
        <f>IF(Y504=[16]Listas!$G$53,AG503-(AG503*AB504),AG503)</f>
        <v>4.3199999999999995E-2</v>
      </c>
      <c r="AH504" s="562"/>
      <c r="AI504" s="305" t="str">
        <f t="shared" si="75"/>
        <v>Moderado</v>
      </c>
      <c r="AJ504" s="145">
        <f>IF(Y504=[16]Listas!$G$55,AJ503-(AJ503*AB504),AJ503)</f>
        <v>0.6</v>
      </c>
      <c r="AK504" s="562"/>
      <c r="AL504" s="565"/>
      <c r="AM504" s="565"/>
      <c r="AN504" s="565"/>
      <c r="AO504" s="568"/>
      <c r="AP504" s="571"/>
      <c r="AQ504" s="324"/>
      <c r="AR504" s="184"/>
    </row>
    <row r="505" spans="2:44" ht="15" hidden="1" customHeight="1" thickBot="1" x14ac:dyDescent="0.4">
      <c r="B505" s="537"/>
      <c r="C505" s="559"/>
      <c r="D505" s="574"/>
      <c r="E505" s="577"/>
      <c r="F505" s="872"/>
      <c r="G505" s="628"/>
      <c r="H505" s="628"/>
      <c r="I505" s="589"/>
      <c r="J505" s="589"/>
      <c r="K505" s="592"/>
      <c r="L505" s="589"/>
      <c r="M505" s="595"/>
      <c r="N505" s="598"/>
      <c r="O505" s="601"/>
      <c r="P505" s="595"/>
      <c r="Q505" s="604"/>
      <c r="R505" s="601"/>
      <c r="S505" s="287"/>
      <c r="T505" s="607"/>
      <c r="U505" s="142" t="s">
        <v>190</v>
      </c>
      <c r="V505" s="415"/>
      <c r="W505" s="319"/>
      <c r="X505" s="320" t="str">
        <f>IF(W505=[16]Listas!$B$46,[16]Listas!$C$46,IF(W505=[16]Listas!$B$47,[16]Listas!$C$47,IF(W505=[16]Listas!$B$48,[16]Listas!$C$48,"")))</f>
        <v/>
      </c>
      <c r="Y505" s="321" t="str">
        <f>IF(OR(W505=[16]Listas!$F$53,W505=[16]Listas!$F$54),[16]Listas!$G$53,IF(W505=[16]Listas!$F$55,[16]Listas!$G$55,""))</f>
        <v/>
      </c>
      <c r="Z505" s="319"/>
      <c r="AA505" s="182" t="str">
        <f>+IF(Z505=[16]Listas!$E$46,[16]Listas!$F$46,IF(Z505=[16]Listas!$E$47,[16]Listas!$F$47,""))</f>
        <v/>
      </c>
      <c r="AB505" s="183" t="str">
        <f t="shared" ref="AB505:AB511" si="76">IFERROR(X505+AA505,"")</f>
        <v/>
      </c>
      <c r="AC505" s="328"/>
      <c r="AD505" s="329"/>
      <c r="AE505" s="330"/>
      <c r="AF505" s="305" t="str">
        <f t="shared" si="70"/>
        <v>Muy baja</v>
      </c>
      <c r="AG505" s="145">
        <f>IF(Y505=[16]Listas!$G$53,AG504-(AG504*AB505),AG504)</f>
        <v>4.3199999999999995E-2</v>
      </c>
      <c r="AH505" s="562"/>
      <c r="AI505" s="305" t="str">
        <f t="shared" si="75"/>
        <v>Moderado</v>
      </c>
      <c r="AJ505" s="145">
        <f>IF(Y505=[16]Listas!$G$55,AJ504-(AJ504*AB505),AJ504)</f>
        <v>0.6</v>
      </c>
      <c r="AK505" s="562"/>
      <c r="AL505" s="565"/>
      <c r="AM505" s="565"/>
      <c r="AN505" s="565"/>
      <c r="AO505" s="568"/>
      <c r="AP505" s="571"/>
      <c r="AQ505" s="324"/>
      <c r="AR505" s="185"/>
    </row>
    <row r="506" spans="2:44" ht="15" hidden="1" customHeight="1" x14ac:dyDescent="0.35">
      <c r="B506" s="537"/>
      <c r="C506" s="559"/>
      <c r="D506" s="574"/>
      <c r="E506" s="577"/>
      <c r="F506" s="872"/>
      <c r="G506" s="628"/>
      <c r="H506" s="628"/>
      <c r="I506" s="589"/>
      <c r="J506" s="589"/>
      <c r="K506" s="592"/>
      <c r="L506" s="589"/>
      <c r="M506" s="595"/>
      <c r="N506" s="598"/>
      <c r="O506" s="601"/>
      <c r="P506" s="595"/>
      <c r="Q506" s="604"/>
      <c r="R506" s="601"/>
      <c r="S506" s="287"/>
      <c r="T506" s="607"/>
      <c r="U506" s="142" t="s">
        <v>198</v>
      </c>
      <c r="V506" s="415"/>
      <c r="W506" s="331"/>
      <c r="X506" s="320" t="str">
        <f>IF(W506=[16]Listas!$B$46,[16]Listas!$C$46,IF(W506=[16]Listas!$B$47,[16]Listas!$C$47,IF(W506=[16]Listas!$B$48,[16]Listas!$C$48,"")))</f>
        <v/>
      </c>
      <c r="Y506" s="321" t="str">
        <f>IF(OR(W506=[16]Listas!$F$53,W506=[16]Listas!$F$54),[16]Listas!$G$53,IF(W506=[16]Listas!$F$55,[16]Listas!$G$55,""))</f>
        <v/>
      </c>
      <c r="Z506" s="331"/>
      <c r="AA506" s="182" t="str">
        <f>+IF(Z506=[16]Listas!$E$46,[16]Listas!$F$46,IF(Z506=[16]Listas!$E$47,[16]Listas!$F$47,""))</f>
        <v/>
      </c>
      <c r="AB506" s="183" t="str">
        <f t="shared" si="76"/>
        <v/>
      </c>
      <c r="AC506" s="319"/>
      <c r="AD506" s="322"/>
      <c r="AE506" s="323"/>
      <c r="AF506" s="305" t="str">
        <f t="shared" si="70"/>
        <v>Muy baja</v>
      </c>
      <c r="AG506" s="145">
        <f>IF(Y506=[16]Listas!$G$53,AG505-(AG505*AB506),AG505)</f>
        <v>4.3199999999999995E-2</v>
      </c>
      <c r="AH506" s="562"/>
      <c r="AI506" s="305" t="str">
        <f t="shared" si="75"/>
        <v>Moderado</v>
      </c>
      <c r="AJ506" s="145">
        <f>IF(Y506=[16]Listas!$G$55,AJ505-(AJ505*AB506),AJ505)</f>
        <v>0.6</v>
      </c>
      <c r="AK506" s="562"/>
      <c r="AL506" s="565"/>
      <c r="AM506" s="565"/>
      <c r="AN506" s="565"/>
      <c r="AO506" s="568"/>
      <c r="AP506" s="571"/>
      <c r="AQ506" s="324"/>
      <c r="AR506" s="185"/>
    </row>
    <row r="507" spans="2:44" ht="15.75" hidden="1" customHeight="1" thickTop="1" x14ac:dyDescent="0.35">
      <c r="B507" s="537"/>
      <c r="C507" s="559"/>
      <c r="D507" s="574"/>
      <c r="E507" s="577"/>
      <c r="F507" s="872"/>
      <c r="G507" s="628"/>
      <c r="H507" s="628"/>
      <c r="I507" s="589"/>
      <c r="J507" s="589"/>
      <c r="K507" s="592"/>
      <c r="L507" s="589"/>
      <c r="M507" s="595"/>
      <c r="N507" s="598"/>
      <c r="O507" s="601"/>
      <c r="P507" s="595"/>
      <c r="Q507" s="604"/>
      <c r="R507" s="601"/>
      <c r="S507" s="288"/>
      <c r="T507" s="607"/>
      <c r="U507" s="142" t="s">
        <v>208</v>
      </c>
      <c r="V507" s="415"/>
      <c r="W507" s="331"/>
      <c r="X507" s="320" t="str">
        <f>IF(W507=[16]Listas!$B$46,[16]Listas!$C$46,IF(W507=[16]Listas!$B$47,[16]Listas!$C$47,IF(W507=[16]Listas!$B$48,[16]Listas!$C$48,"")))</f>
        <v/>
      </c>
      <c r="Y507" s="321" t="str">
        <f>IF(OR(W507=[16]Listas!$F$53,W507=[16]Listas!$F$54),[16]Listas!$G$53,IF(W507=[16]Listas!$F$55,[16]Listas!$G$55,""))</f>
        <v/>
      </c>
      <c r="Z507" s="331"/>
      <c r="AA507" s="182" t="str">
        <f>+IF(Z507=[16]Listas!$E$46,[16]Listas!$F$46,IF(Z507=[16]Listas!$E$47,[16]Listas!$F$47,""))</f>
        <v/>
      </c>
      <c r="AB507" s="183" t="str">
        <f t="shared" si="76"/>
        <v/>
      </c>
      <c r="AC507" s="319"/>
      <c r="AD507" s="322"/>
      <c r="AE507" s="323"/>
      <c r="AF507" s="305" t="str">
        <f t="shared" si="70"/>
        <v>Muy baja</v>
      </c>
      <c r="AG507" s="145">
        <f>IF(Y507=[16]Listas!$G$53,AG506-(AG506*AB507),AG506)</f>
        <v>4.3199999999999995E-2</v>
      </c>
      <c r="AH507" s="562"/>
      <c r="AI507" s="305" t="str">
        <f t="shared" si="75"/>
        <v>Moderado</v>
      </c>
      <c r="AJ507" s="145">
        <f>IF(Y507=[16]Listas!$G$55,AJ506-(AJ506*AB507),AJ506)</f>
        <v>0.6</v>
      </c>
      <c r="AK507" s="562"/>
      <c r="AL507" s="565"/>
      <c r="AM507" s="565"/>
      <c r="AN507" s="565"/>
      <c r="AO507" s="568"/>
      <c r="AP507" s="571"/>
      <c r="AQ507" s="332"/>
      <c r="AR507" s="185"/>
    </row>
    <row r="508" spans="2:44" ht="15" hidden="1" customHeight="1" thickTop="1" x14ac:dyDescent="0.35">
      <c r="B508" s="537"/>
      <c r="C508" s="559"/>
      <c r="D508" s="574"/>
      <c r="E508" s="577"/>
      <c r="F508" s="872"/>
      <c r="G508" s="628"/>
      <c r="H508" s="628"/>
      <c r="I508" s="589"/>
      <c r="J508" s="589"/>
      <c r="K508" s="592"/>
      <c r="L508" s="589"/>
      <c r="M508" s="595"/>
      <c r="N508" s="598"/>
      <c r="O508" s="601"/>
      <c r="P508" s="595"/>
      <c r="Q508" s="604"/>
      <c r="R508" s="601"/>
      <c r="S508" s="289"/>
      <c r="T508" s="607"/>
      <c r="U508" s="142" t="s">
        <v>215</v>
      </c>
      <c r="V508" s="415"/>
      <c r="W508" s="331"/>
      <c r="X508" s="320" t="str">
        <f>IF(W508=[16]Listas!$B$46,[16]Listas!$C$46,IF(W508=[16]Listas!$B$47,[16]Listas!$C$47,IF(W508=[16]Listas!$B$48,[16]Listas!$C$48,"")))</f>
        <v/>
      </c>
      <c r="Y508" s="321" t="str">
        <f>IF(OR(W508=[16]Listas!$F$53,W508=[16]Listas!$F$54),[16]Listas!$G$53,IF(W508=[16]Listas!$F$55,[16]Listas!$G$55,""))</f>
        <v/>
      </c>
      <c r="Z508" s="331"/>
      <c r="AA508" s="182" t="str">
        <f>+IF(Z508=[16]Listas!$E$46,[16]Listas!$F$46,IF(Z508=[16]Listas!$E$47,[16]Listas!$F$47,""))</f>
        <v/>
      </c>
      <c r="AB508" s="183" t="str">
        <f t="shared" si="76"/>
        <v/>
      </c>
      <c r="AC508" s="319"/>
      <c r="AD508" s="322"/>
      <c r="AE508" s="323"/>
      <c r="AF508" s="305" t="str">
        <f t="shared" si="70"/>
        <v>Muy baja</v>
      </c>
      <c r="AG508" s="145">
        <f>IF(Y508=[16]Listas!$G$53,AG507-(AG507*AB508),AG507)</f>
        <v>4.3199999999999995E-2</v>
      </c>
      <c r="AH508" s="562"/>
      <c r="AI508" s="305" t="str">
        <f t="shared" si="75"/>
        <v>Moderado</v>
      </c>
      <c r="AJ508" s="145">
        <f>IF(Y508=[16]Listas!$G$55,AJ507-(AJ507*AB508),AJ507)</f>
        <v>0.6</v>
      </c>
      <c r="AK508" s="562"/>
      <c r="AL508" s="565"/>
      <c r="AM508" s="565"/>
      <c r="AN508" s="565"/>
      <c r="AO508" s="568"/>
      <c r="AP508" s="571"/>
      <c r="AQ508" s="333"/>
      <c r="AR508" s="185"/>
    </row>
    <row r="509" spans="2:44" ht="15" hidden="1" customHeight="1" thickTop="1" x14ac:dyDescent="0.35">
      <c r="B509" s="537"/>
      <c r="C509" s="559"/>
      <c r="D509" s="574"/>
      <c r="E509" s="577"/>
      <c r="F509" s="872"/>
      <c r="G509" s="628"/>
      <c r="H509" s="628"/>
      <c r="I509" s="589"/>
      <c r="J509" s="589"/>
      <c r="K509" s="592"/>
      <c r="L509" s="589"/>
      <c r="M509" s="595"/>
      <c r="N509" s="598"/>
      <c r="O509" s="601"/>
      <c r="P509" s="595"/>
      <c r="Q509" s="604"/>
      <c r="R509" s="601"/>
      <c r="S509" s="289"/>
      <c r="T509" s="607"/>
      <c r="U509" s="142" t="s">
        <v>220</v>
      </c>
      <c r="V509" s="415"/>
      <c r="W509" s="331"/>
      <c r="X509" s="320" t="str">
        <f>IF(W509=[16]Listas!$B$46,[16]Listas!$C$46,IF(W509=[16]Listas!$B$47,[16]Listas!$C$47,IF(W509=[16]Listas!$B$48,[16]Listas!$C$48,"")))</f>
        <v/>
      </c>
      <c r="Y509" s="321" t="str">
        <f>IF(OR(W509=[16]Listas!$F$53,W509=[16]Listas!$F$54),[16]Listas!$G$53,IF(W509=[16]Listas!$F$55,[16]Listas!$G$55,""))</f>
        <v/>
      </c>
      <c r="Z509" s="331"/>
      <c r="AA509" s="182" t="str">
        <f>+IF(Z509=[16]Listas!$E$46,[16]Listas!$F$46,IF(Z509=[16]Listas!$E$47,[16]Listas!$F$47,""))</f>
        <v/>
      </c>
      <c r="AB509" s="183" t="str">
        <f t="shared" si="76"/>
        <v/>
      </c>
      <c r="AC509" s="319"/>
      <c r="AD509" s="322"/>
      <c r="AE509" s="323"/>
      <c r="AF509" s="305" t="str">
        <f t="shared" si="70"/>
        <v>Muy baja</v>
      </c>
      <c r="AG509" s="145">
        <f>IF(Y509=[16]Listas!$G$53,AG508-(AG508*AB509),AG508)</f>
        <v>4.3199999999999995E-2</v>
      </c>
      <c r="AH509" s="562"/>
      <c r="AI509" s="305" t="str">
        <f t="shared" si="75"/>
        <v>Moderado</v>
      </c>
      <c r="AJ509" s="145">
        <f>IF(Y509=[16]Listas!$G$55,AJ508-(AJ508*AB509),AJ508)</f>
        <v>0.6</v>
      </c>
      <c r="AK509" s="562"/>
      <c r="AL509" s="565"/>
      <c r="AM509" s="565"/>
      <c r="AN509" s="565"/>
      <c r="AO509" s="568"/>
      <c r="AP509" s="571"/>
      <c r="AQ509" s="334"/>
      <c r="AR509" s="185"/>
    </row>
    <row r="510" spans="2:44" ht="15" hidden="1" customHeight="1" thickTop="1" x14ac:dyDescent="0.35">
      <c r="B510" s="537"/>
      <c r="C510" s="559"/>
      <c r="D510" s="574"/>
      <c r="E510" s="577"/>
      <c r="F510" s="872"/>
      <c r="G510" s="628"/>
      <c r="H510" s="628"/>
      <c r="I510" s="589"/>
      <c r="J510" s="589"/>
      <c r="K510" s="592"/>
      <c r="L510" s="589"/>
      <c r="M510" s="595"/>
      <c r="N510" s="598"/>
      <c r="O510" s="601"/>
      <c r="P510" s="595"/>
      <c r="Q510" s="604"/>
      <c r="R510" s="601"/>
      <c r="S510" s="289"/>
      <c r="T510" s="607"/>
      <c r="U510" s="142" t="s">
        <v>223</v>
      </c>
      <c r="V510" s="415"/>
      <c r="W510" s="331"/>
      <c r="X510" s="320" t="str">
        <f>IF(W510=[16]Listas!$B$46,[16]Listas!$C$46,IF(W510=[16]Listas!$B$47,[16]Listas!$C$47,IF(W510=[16]Listas!$B$48,[16]Listas!$C$48,"")))</f>
        <v/>
      </c>
      <c r="Y510" s="321" t="str">
        <f>IF(OR(W510=[16]Listas!$F$53,W510=[16]Listas!$F$54),[16]Listas!$G$53,IF(W510=[16]Listas!$F$55,[16]Listas!$G$55,""))</f>
        <v/>
      </c>
      <c r="Z510" s="331"/>
      <c r="AA510" s="182" t="str">
        <f>+IF(Z510=[16]Listas!$E$46,[16]Listas!$F$46,IF(Z510=[16]Listas!$E$47,[16]Listas!$F$47,""))</f>
        <v/>
      </c>
      <c r="AB510" s="183" t="str">
        <f t="shared" si="76"/>
        <v/>
      </c>
      <c r="AC510" s="319"/>
      <c r="AD510" s="322"/>
      <c r="AE510" s="323"/>
      <c r="AF510" s="305" t="str">
        <f t="shared" si="70"/>
        <v>Muy baja</v>
      </c>
      <c r="AG510" s="145">
        <f>IF(Y510=[16]Listas!$G$53,AG509-(AG509*AB510),AG509)</f>
        <v>4.3199999999999995E-2</v>
      </c>
      <c r="AH510" s="562"/>
      <c r="AI510" s="305" t="str">
        <f t="shared" si="75"/>
        <v>Moderado</v>
      </c>
      <c r="AJ510" s="145">
        <f>IF(Y510=[16]Listas!$G$55,AJ509-(AJ509*AB510),AJ509)</f>
        <v>0.6</v>
      </c>
      <c r="AK510" s="562"/>
      <c r="AL510" s="565"/>
      <c r="AM510" s="565"/>
      <c r="AN510" s="565"/>
      <c r="AO510" s="568"/>
      <c r="AP510" s="571"/>
      <c r="AQ510" s="324"/>
      <c r="AR510" s="185"/>
    </row>
    <row r="511" spans="2:44" ht="15.75" hidden="1" customHeight="1" thickTop="1" x14ac:dyDescent="0.35">
      <c r="B511" s="537"/>
      <c r="C511" s="559"/>
      <c r="D511" s="575"/>
      <c r="E511" s="578"/>
      <c r="F511" s="873"/>
      <c r="G511" s="629"/>
      <c r="H511" s="629"/>
      <c r="I511" s="590"/>
      <c r="J511" s="590"/>
      <c r="K511" s="593"/>
      <c r="L511" s="590"/>
      <c r="M511" s="596"/>
      <c r="N511" s="599"/>
      <c r="O511" s="602"/>
      <c r="P511" s="596"/>
      <c r="Q511" s="605"/>
      <c r="R511" s="602"/>
      <c r="S511" s="293"/>
      <c r="T511" s="608"/>
      <c r="U511" s="202" t="s">
        <v>224</v>
      </c>
      <c r="V511" s="416"/>
      <c r="W511" s="335"/>
      <c r="X511" s="336" t="str">
        <f>IF(W511=[16]Listas!$B$46,[16]Listas!$C$46,IF(W511=[16]Listas!$B$47,[16]Listas!$C$47,IF(W511=[16]Listas!$B$48,[16]Listas!$C$48,"")))</f>
        <v/>
      </c>
      <c r="Y511" s="337" t="str">
        <f>IF(OR(W511=[16]Listas!$F$53,W511=[16]Listas!$F$54),[16]Listas!$G$53,IF(W511=[16]Listas!$F$55,[16]Listas!$G$55,""))</f>
        <v/>
      </c>
      <c r="Z511" s="335"/>
      <c r="AA511" s="186" t="str">
        <f>+IF(Z511=[16]Listas!$E$46,[16]Listas!$F$46,IF(Z511=[16]Listas!$E$47,[16]Listas!$F$47,""))</f>
        <v/>
      </c>
      <c r="AB511" s="187" t="str">
        <f t="shared" si="76"/>
        <v/>
      </c>
      <c r="AC511" s="338"/>
      <c r="AD511" s="339"/>
      <c r="AE511" s="340"/>
      <c r="AF511" s="311" t="str">
        <f t="shared" si="70"/>
        <v>Muy baja</v>
      </c>
      <c r="AG511" s="179">
        <f>IF(Y511=[16]Listas!$G$53,AG510-(AG510*AB511),AG510)</f>
        <v>4.3199999999999995E-2</v>
      </c>
      <c r="AH511" s="563"/>
      <c r="AI511" s="311" t="str">
        <f t="shared" si="75"/>
        <v>Moderado</v>
      </c>
      <c r="AJ511" s="179">
        <f>IF(Y511=[16]Listas!$G$55,AJ510-(AJ510*AB511),AJ510)</f>
        <v>0.6</v>
      </c>
      <c r="AK511" s="563"/>
      <c r="AL511" s="566"/>
      <c r="AM511" s="566"/>
      <c r="AN511" s="566"/>
      <c r="AO511" s="569"/>
      <c r="AP511" s="572"/>
      <c r="AQ511" s="341"/>
      <c r="AR511" s="188"/>
    </row>
    <row r="512" spans="2:44" ht="85" thickTop="1" thickBot="1" x14ac:dyDescent="0.4">
      <c r="B512" s="537"/>
      <c r="C512" s="559"/>
      <c r="D512" s="573" t="s">
        <v>672</v>
      </c>
      <c r="E512" s="576" t="s">
        <v>5</v>
      </c>
      <c r="F512" s="624" t="s">
        <v>673</v>
      </c>
      <c r="G512" s="627" t="s">
        <v>674</v>
      </c>
      <c r="H512" s="627" t="s">
        <v>675</v>
      </c>
      <c r="I512" s="588" t="s">
        <v>28</v>
      </c>
      <c r="J512" s="588" t="s">
        <v>29</v>
      </c>
      <c r="K512" s="591" t="s">
        <v>676</v>
      </c>
      <c r="L512" s="588" t="s">
        <v>186</v>
      </c>
      <c r="M512" s="594" t="s">
        <v>207</v>
      </c>
      <c r="N512" s="597" t="str">
        <f>+IF(M512="","",IF(M512=$BO$15,$BN$15,IF(M512=$BO$16,$BN$16,IF(M512=$BO$17,$BN$17,IF(M512=$BO$18,$BN$18,IF(M512=$BO$19,$BN$19))))))</f>
        <v>Baja</v>
      </c>
      <c r="O512" s="600">
        <f>+IF(M512="","",IF(M512=$BO$15,$BR$15,IF(M512=$BO$16,$BR$16,IF(M512=$BO$17,$BR$17,IF(M512=$BO$18,$BR$18,IF(M512=$BO$19,$BR$19))))))</f>
        <v>0.4</v>
      </c>
      <c r="P512" s="594" t="s">
        <v>212</v>
      </c>
      <c r="Q512" s="603" t="str">
        <f>+IF(P512="","",IF(P512='[16]Mapa de Calor inherente'!$AF$6,'[16]Mapa de Calor inherente'!$AD$6,IF(P512='[16]Mapa de Calor inherente'!$AF$7,'[16]Mapa de Calor inherente'!$AD$7,IF(P512='[16]Mapa de Calor inherente'!$AF$8,'[16]Mapa de Calor inherente'!$AD$8,IF(P512='[16]Mapa de Calor inherente'!$AF$9,'[16]Mapa de Calor inherente'!$AD$9,IF(P512='[16]Mapa de Calor inherente'!$AF$10,'[16]Mapa de Calor inherente'!$AD$10,IF(P512='[16]Mapa de Calor inherente'!$AG$6,'[16]Mapa de Calor inherente'!$AD$6,IF(P512='[16]Mapa de Calor inherente'!$AG$7,'[16]Mapa de Calor inherente'!$AD$7,IF(P512='[16]Mapa de Calor inherente'!$AG$8,'[16]Mapa de Calor inherente'!$AD$8,IF(P512='[16]Mapa de Calor inherente'!$AG$9,'[16]Mapa de Calor inherente'!$AD$9,IF(P512='[16]Mapa de Calor inherente'!$AG$10,'[16]Mapa de Calor inherente'!$AD$10,IF(P512='[16]Mapa de Calor inherente'!$AD$8,'[16]Mapa de Calor inherente'!$AD$8,IF(P512='[16]Mapa de Calor inherente'!$AD$9,'[16]Mapa de Calor inherente'!$AD$9,IF(P512='[16]Mapa de Calor inherente'!$AD$10,'[16]Mapa de Calor inherente'!$AD$10))))))))))))))</f>
        <v>Moderado</v>
      </c>
      <c r="R512" s="600">
        <f>+IF(P512="","",IF(P512='[16]Mapa de Calor inherente'!$AF$6,'[16]Mapa de Calor inherente'!$AE$6,IF(P512='[16]Mapa de Calor inherente'!$AF$7,'[16]Mapa de Calor inherente'!$AE$7,IF(P512='[16]Mapa de Calor inherente'!$AF$8,'[16]Mapa de Calor inherente'!$AE$8,IF(P512='[16]Mapa de Calor inherente'!$AF$9,'[16]Mapa de Calor inherente'!$AE$9,IF(P512='[16]Mapa de Calor inherente'!$AF$10,'[16]Mapa de Calor inherente'!$AE$10,IF(P512='[16]Mapa de Calor inherente'!$AG$6,'[16]Mapa de Calor inherente'!$AE$6,IF(P512='[16]Mapa de Calor inherente'!$AG$7,'[16]Mapa de Calor inherente'!$AE$7,IF(P512='[16]Mapa de Calor inherente'!$AG$8,'[16]Mapa de Calor inherente'!$AE$8,IF(P512='[16]Mapa de Calor inherente'!$AG$9,'[16]Mapa de Calor inherente'!$AE$9,IF(P512='[16]Mapa de Calor inherente'!$AG$10,'[16]Mapa de Calor inherente'!$AE$10,IF(P512='[16]Mapa de Calor inherente'!$AD$8,'[16]Mapa de Calor inherente'!$AE$8,IF(P512='[16]Mapa de Calor inherente'!$AD$9,'[16]Mapa de Calor inherente'!$AE$9,IF(P512='[16]Mapa de Calor inherente'!$AD$10,'[16]Mapa de Calor inherente'!$AE$10))))))))))))))</f>
        <v>0.6</v>
      </c>
      <c r="S512" s="292"/>
      <c r="T512" s="603" t="str">
        <f>+IF(N512=$BB$17,IF(Q512=$BC$16,$BC$17,IF(Q512=$BD$16,$BD$17,IF(Q512=$BE$16,$BE$17,IF(Q512=$BF$16,$BF$17,IF(Q512=$BG$16,$BG$17))))),IF(N512=$BB$18,IF(Q512=$BC$16,$BC$18,IF(Q512=$BD$16,$BD$18,IF(Q512=$BE$16,$BE$18,IF(Q512=$BF$16,$BF$18,IF(Q512=$BG$16,$BG$18))))),IF(N512=$BB$19,IF(Q512=$BC$16,$BC$19,IF(Q512=$BD$16,$BD$19,IF(Q512=$BE$16,$BE$19,IF(Q512=$BF$16,$BF$19,IF(Q512=$BG$16,$BG$19))))),IF(N512=$BB$20,IF(Q512=$BC$16,$BC$20,IF(Q512=$BD$16,$BD$20,IF(Q512=$BE$16,$BE$20,IF(Q512=$BF$16,$BF$20,IF(Q512=$BG$16,$BG$20))))),IF(N512=$BB$21,IF(Q512=$BC$16,$BC$21,IF(Q512=$BD$16,$BD$21,IF(Q512=$BE$16,$BE$21,IF(Q512=$BF$16,$BF$21,IF(Q512=$BG$16,$BG$21))))),"")))))</f>
        <v>Moderado</v>
      </c>
      <c r="U512" s="139" t="s">
        <v>171</v>
      </c>
      <c r="V512" s="481" t="s">
        <v>677</v>
      </c>
      <c r="W512" s="313" t="s">
        <v>40</v>
      </c>
      <c r="X512" s="314">
        <f>IF(W512=[16]Listas!$B$46,[16]Listas!$C$46,IF(W512=[16]Listas!$B$47,[16]Listas!$C$47,IF(W512=[16]Listas!$B$48,[16]Listas!$C$48,"")))</f>
        <v>0.25</v>
      </c>
      <c r="Y512" s="315" t="str">
        <f>IF(OR(W512=[16]Listas!$F$53,W512=[16]Listas!$F$54),[16]Listas!$G$53,IF(W512=[16]Listas!$F$55,[16]Listas!$G$55,""))</f>
        <v>Probabilidad</v>
      </c>
      <c r="Z512" s="313" t="s">
        <v>43</v>
      </c>
      <c r="AA512" s="314">
        <f>+IF(Z512=[16]Listas!$E$46,[16]Listas!$F$46,IF(Z512=[16]Listas!$E$47,[16]Listas!$F$47,""))</f>
        <v>0.15</v>
      </c>
      <c r="AB512" s="181">
        <f>IFERROR(X512+AA512,"")</f>
        <v>0.4</v>
      </c>
      <c r="AC512" s="313" t="s">
        <v>57</v>
      </c>
      <c r="AD512" s="313" t="s">
        <v>58</v>
      </c>
      <c r="AE512" s="317" t="s">
        <v>59</v>
      </c>
      <c r="AF512" s="299" t="str">
        <f t="shared" si="70"/>
        <v>Baja</v>
      </c>
      <c r="AG512" s="141">
        <f>IF(Y512=[16]Listas!$G$53,O512-(O512*AB512),O512)</f>
        <v>0.24</v>
      </c>
      <c r="AH512" s="561">
        <f>+IF(AG521="","",AG521)</f>
        <v>0.14399999999999999</v>
      </c>
      <c r="AI512" s="299" t="str">
        <f>IF(AJ512="","",IF(AJ512&lt;=20%,"Leve",IF(AJ512&lt;=40%,"Menor",IF(AJ512&lt;=60%,"Moderado",IF(AJ512&lt;=80%,"Mayor","Catastrófico")))))</f>
        <v>Moderado</v>
      </c>
      <c r="AJ512" s="141">
        <f>IF(Y512=[16]Listas!$G$55,R512-(R512*AB512),R512)</f>
        <v>0.6</v>
      </c>
      <c r="AK512" s="561">
        <f>+IF(AJ521="","",AJ521)</f>
        <v>0.6</v>
      </c>
      <c r="AL512" s="564" t="str">
        <f>+IF(AH512=0,"",IF(AH512&lt;=$BA$21,$BB$21,IF(AH512&lt;=$BA$20,$BB$20,IF(AH512&lt;=$BA$19,$BB$19,IF(AH512&lt;=$BA$18,$BB$18,IF(AH512&lt;=$BA$17,$BB$17,""))))))</f>
        <v>Muy Baja</v>
      </c>
      <c r="AM512" s="564" t="str">
        <f>+IF(AK512=0,"",IF(AK512&lt;=$BC$15,$BC$16,IF(AK512&lt;=$BD$15,$BD$16,IF(AK512&lt;=$BE$15,$BE$16,IF(AK512&lt;=$BF$15,$BF$16,IF(AK512&lt;=$BG$15,$BG$16,""))))))</f>
        <v>Moderado</v>
      </c>
      <c r="AN512" s="564" t="str">
        <f>IF(AL512=$BB$17,IF(AM512=$BC$16,$BC$17,IF(AM512=$BD$16,$BD$17,IF(AM512=$BE$16,$BE$17,IF(AM512=$BF$16,$BF$17,IF(AM512=$BG$16,$BG$17))))),IF(AL512=$BB$18,IF(AM512=$BC$16,$BC$18,IF(AM512=$BD$16,$BD$18,IF(AM512=$BE$16,$BE$18,IF(AM512=$BF$16,$BF$18,IF(AM512=$BG$16,$BG$18))))),IF(AL512=$BB$19,IF(AM512=$BC$16,$BC$19,IF(AM512=$BD$16,$BD$19,IF(AM512=$BE$16,$BE$19,IF(AM512=$BF$16,$BF$19,IF(AM512=$BG$16,$BG$19))))),IF(AL512=$BB$20,IF(AM512=$BC$16,$BC$20,IF(AM512=$BD$16,$BD$20,IF(AM512=$BE$16,$BE$20,IF(AM512=$BF$16,$BF$20,IF(AM512=$BG$16,$BG$20))))),IF(AL512=$BB$21,IF(AM512=$BC$16,$BC$21,IF(AM512=$BD$16,$BD$21,IF(AM512=$BE$16,$BE$21,IF(AM512=$BF$16,$BF$21,IF(AM512=$BG$16,$BG$21))))),"")))))</f>
        <v>Moderado</v>
      </c>
      <c r="AO512" s="567" t="str">
        <f>IF(AP512="","",IF(AP512=[16]Listas!$F$61,[16]Listas!$G$61,IF(AP512=[16]Listas!$F$63,[16]Listas!$G$63,IF(AP512=[16]Listas!$F$64,[16]Listas!$G$64))))</f>
        <v>Requiere Plan de Acción</v>
      </c>
      <c r="AP512" s="570" t="str">
        <f>IF(AN512="","",IF(OR(AN512=[16]Listas!$E$61,AN512=[16]Listas!$E$62),[16]Listas!$F$61,IF(AN512=[16]Listas!$E$63,[16]Listas!$F$63,IF(AN512=[16]Listas!$E$64,[16]Listas!$F$64))))</f>
        <v>Aceptar o reducir el riesgo</v>
      </c>
      <c r="AQ512" s="342" t="s">
        <v>90</v>
      </c>
      <c r="AR512" s="119" t="s">
        <v>261</v>
      </c>
    </row>
    <row r="513" spans="2:44" ht="112.5" customHeight="1" thickTop="1" thickBot="1" x14ac:dyDescent="0.4">
      <c r="B513" s="537"/>
      <c r="C513" s="559"/>
      <c r="D513" s="574"/>
      <c r="E513" s="577"/>
      <c r="F513" s="625"/>
      <c r="G513" s="628"/>
      <c r="H513" s="628"/>
      <c r="I513" s="589"/>
      <c r="J513" s="589"/>
      <c r="K513" s="592"/>
      <c r="L513" s="589"/>
      <c r="M513" s="595"/>
      <c r="N513" s="598"/>
      <c r="O513" s="601"/>
      <c r="P513" s="595"/>
      <c r="Q513" s="604"/>
      <c r="R513" s="601"/>
      <c r="S513" s="286"/>
      <c r="T513" s="604"/>
      <c r="U513" s="142" t="s">
        <v>174</v>
      </c>
      <c r="V513" s="482" t="s">
        <v>678</v>
      </c>
      <c r="W513" s="331" t="s">
        <v>40</v>
      </c>
      <c r="X513" s="320">
        <f>IF(W513=[16]Listas!$B$46,[16]Listas!$C$46,IF(W513=[16]Listas!$B$47,[16]Listas!$C$47,IF(W513=[16]Listas!$B$48,[16]Listas!$C$48,"")))</f>
        <v>0.25</v>
      </c>
      <c r="Y513" s="321" t="str">
        <f>IF(OR(W513=[16]Listas!$F$53,W513=[16]Listas!$F$54),[16]Listas!$G$53,IF(W513=[16]Listas!$F$55,[16]Listas!$G$55,""))</f>
        <v>Probabilidad</v>
      </c>
      <c r="Z513" s="331" t="s">
        <v>43</v>
      </c>
      <c r="AA513" s="182">
        <f>+IF(Z513=[16]Listas!$E$46,[16]Listas!$F$46,IF(Z513=[16]Listas!$E$47,[16]Listas!$F$47,""))</f>
        <v>0.15</v>
      </c>
      <c r="AB513" s="183">
        <f>IFERROR(X513+AA513,"")</f>
        <v>0.4</v>
      </c>
      <c r="AC513" s="319" t="s">
        <v>64</v>
      </c>
      <c r="AD513" s="319" t="s">
        <v>58</v>
      </c>
      <c r="AE513" s="323" t="s">
        <v>59</v>
      </c>
      <c r="AF513" s="305" t="str">
        <f t="shared" si="70"/>
        <v>Muy baja</v>
      </c>
      <c r="AG513" s="145">
        <f>IF(Y513=[16]Listas!$G$53,AG512-(AG512*AB513),AG512)</f>
        <v>0.14399999999999999</v>
      </c>
      <c r="AH513" s="562"/>
      <c r="AI513" s="305" t="str">
        <f t="shared" si="75"/>
        <v>Moderado</v>
      </c>
      <c r="AJ513" s="145">
        <f>IF(Y513=[16]Listas!$G$55,AJ512-(AJ512*AB513),AJ512)</f>
        <v>0.6</v>
      </c>
      <c r="AK513" s="562"/>
      <c r="AL513" s="565"/>
      <c r="AM513" s="565"/>
      <c r="AN513" s="565"/>
      <c r="AO513" s="568"/>
      <c r="AP513" s="571"/>
      <c r="AQ513" s="343" t="s">
        <v>90</v>
      </c>
      <c r="AR513" s="191" t="s">
        <v>263</v>
      </c>
    </row>
    <row r="514" spans="2:44" ht="207" customHeight="1" thickTop="1" thickBot="1" x14ac:dyDescent="0.4">
      <c r="B514" s="537"/>
      <c r="C514" s="559"/>
      <c r="D514" s="574"/>
      <c r="E514" s="577"/>
      <c r="F514" s="625"/>
      <c r="G514" s="628"/>
      <c r="H514" s="628"/>
      <c r="I514" s="589"/>
      <c r="J514" s="589"/>
      <c r="K514" s="592"/>
      <c r="L514" s="589"/>
      <c r="M514" s="595"/>
      <c r="N514" s="598"/>
      <c r="O514" s="601"/>
      <c r="P514" s="595"/>
      <c r="Q514" s="604"/>
      <c r="R514" s="601"/>
      <c r="S514" s="287"/>
      <c r="T514" s="604"/>
      <c r="U514" s="142" t="s">
        <v>180</v>
      </c>
      <c r="V514" s="441"/>
      <c r="W514" s="331"/>
      <c r="X514" s="320" t="str">
        <f>IF(W514=[16]Listas!$B$46,[16]Listas!$C$46,IF(W514=[16]Listas!$B$47,[16]Listas!$C$47,IF(W514=[16]Listas!$B$48,[16]Listas!$C$48,"")))</f>
        <v/>
      </c>
      <c r="Y514" s="321" t="str">
        <f>IF(OR(W514=[16]Listas!$F$53,W514=[16]Listas!$F$54),[16]Listas!$G$53,IF(W514=[16]Listas!$F$55,[16]Listas!$G$55,""))</f>
        <v/>
      </c>
      <c r="Z514" s="331"/>
      <c r="AA514" s="182" t="str">
        <f>+IF(Z514=[16]Listas!$E$46,[16]Listas!$F$46,IF(Z514=[16]Listas!$E$47,[16]Listas!$F$47,""))</f>
        <v/>
      </c>
      <c r="AB514" s="183" t="str">
        <f>IFERROR(X514+AA514,"")</f>
        <v/>
      </c>
      <c r="AC514" s="319"/>
      <c r="AD514" s="319"/>
      <c r="AE514" s="323"/>
      <c r="AF514" s="305" t="str">
        <f t="shared" si="70"/>
        <v>Muy baja</v>
      </c>
      <c r="AG514" s="145">
        <f>IF(Y514=[16]Listas!$G$53,AG513-(AG513*AB514),AG513)</f>
        <v>0.14399999999999999</v>
      </c>
      <c r="AH514" s="562"/>
      <c r="AI514" s="305" t="str">
        <f t="shared" si="75"/>
        <v>Moderado</v>
      </c>
      <c r="AJ514" s="145">
        <f>IF(Y514=[16]Listas!$G$55,AJ513-(AJ513*AB514),AJ513)</f>
        <v>0.6</v>
      </c>
      <c r="AK514" s="562"/>
      <c r="AL514" s="565"/>
      <c r="AM514" s="565"/>
      <c r="AN514" s="565"/>
      <c r="AO514" s="568"/>
      <c r="AP514" s="571"/>
      <c r="AQ514" s="343" t="s">
        <v>90</v>
      </c>
      <c r="AR514" s="191" t="s">
        <v>679</v>
      </c>
    </row>
    <row r="515" spans="2:44" ht="15" hidden="1" customHeight="1" x14ac:dyDescent="0.35">
      <c r="B515" s="537"/>
      <c r="C515" s="559"/>
      <c r="D515" s="574"/>
      <c r="E515" s="577"/>
      <c r="F515" s="625"/>
      <c r="G515" s="628"/>
      <c r="H515" s="628"/>
      <c r="I515" s="589"/>
      <c r="J515" s="589"/>
      <c r="K515" s="592"/>
      <c r="L515" s="589"/>
      <c r="M515" s="595"/>
      <c r="N515" s="598"/>
      <c r="O515" s="601"/>
      <c r="P515" s="595"/>
      <c r="Q515" s="604"/>
      <c r="R515" s="601"/>
      <c r="S515" s="287"/>
      <c r="T515" s="604"/>
      <c r="U515" s="142" t="s">
        <v>190</v>
      </c>
      <c r="V515" s="415"/>
      <c r="W515" s="331"/>
      <c r="X515" s="320" t="str">
        <f>IF(W515=[16]Listas!$B$46,[16]Listas!$C$46,IF(W515=[16]Listas!$B$47,[16]Listas!$C$47,IF(W515=[16]Listas!$B$48,[16]Listas!$C$48,"")))</f>
        <v/>
      </c>
      <c r="Y515" s="321" t="str">
        <f>IF(OR(W515=[16]Listas!$F$53,W515=[16]Listas!$F$54),[16]Listas!$G$53,IF(W515=[16]Listas!$F$55,[16]Listas!$G$55,""))</f>
        <v/>
      </c>
      <c r="Z515" s="331"/>
      <c r="AA515" s="182" t="str">
        <f>+IF(Z515=[16]Listas!$E$46,[16]Listas!$F$46,IF(Z515=[16]Listas!$E$47,[16]Listas!$F$47,""))</f>
        <v/>
      </c>
      <c r="AB515" s="183" t="str">
        <f t="shared" ref="AB515:AB521" si="77">IFERROR(X515+AA515,"")</f>
        <v/>
      </c>
      <c r="AC515" s="319"/>
      <c r="AD515" s="319"/>
      <c r="AE515" s="323"/>
      <c r="AF515" s="305" t="str">
        <f t="shared" si="70"/>
        <v>Muy baja</v>
      </c>
      <c r="AG515" s="145">
        <f>IF(Y515=[16]Listas!$G$53,AG514-(AG514*AB515),AG514)</f>
        <v>0.14399999999999999</v>
      </c>
      <c r="AH515" s="562"/>
      <c r="AI515" s="305" t="str">
        <f t="shared" si="75"/>
        <v>Moderado</v>
      </c>
      <c r="AJ515" s="145">
        <f>IF(Y515=[16]Listas!$G$55,AJ514-(AJ514*AB515),AJ514)</f>
        <v>0.6</v>
      </c>
      <c r="AK515" s="562"/>
      <c r="AL515" s="565"/>
      <c r="AM515" s="565"/>
      <c r="AN515" s="565"/>
      <c r="AO515" s="568"/>
      <c r="AP515" s="571"/>
      <c r="AQ515" s="344"/>
      <c r="AR515" s="191"/>
    </row>
    <row r="516" spans="2:44" ht="15" hidden="1" customHeight="1" x14ac:dyDescent="0.35">
      <c r="B516" s="537"/>
      <c r="C516" s="559"/>
      <c r="D516" s="574"/>
      <c r="E516" s="577"/>
      <c r="F516" s="625"/>
      <c r="G516" s="628"/>
      <c r="H516" s="628"/>
      <c r="I516" s="589"/>
      <c r="J516" s="589"/>
      <c r="K516" s="592"/>
      <c r="L516" s="589"/>
      <c r="M516" s="595"/>
      <c r="N516" s="598"/>
      <c r="O516" s="601"/>
      <c r="P516" s="595"/>
      <c r="Q516" s="604"/>
      <c r="R516" s="601"/>
      <c r="S516" s="287"/>
      <c r="T516" s="604"/>
      <c r="U516" s="142" t="s">
        <v>198</v>
      </c>
      <c r="V516" s="415"/>
      <c r="W516" s="331"/>
      <c r="X516" s="320" t="str">
        <f>IF(W516=[16]Listas!$B$46,[16]Listas!$C$46,IF(W516=[16]Listas!$B$47,[16]Listas!$C$47,IF(W516=[16]Listas!$B$48,[16]Listas!$C$48,"")))</f>
        <v/>
      </c>
      <c r="Y516" s="321" t="str">
        <f>IF(OR(W516=[16]Listas!$F$53,W516=[16]Listas!$F$54),[16]Listas!$G$53,IF(W516=[16]Listas!$F$55,[16]Listas!$G$55,""))</f>
        <v/>
      </c>
      <c r="Z516" s="331"/>
      <c r="AA516" s="182" t="str">
        <f>+IF(Z516=[16]Listas!$E$46,[16]Listas!$F$46,IF(Z516=[16]Listas!$E$47,[16]Listas!$F$47,""))</f>
        <v/>
      </c>
      <c r="AB516" s="183" t="str">
        <f t="shared" si="77"/>
        <v/>
      </c>
      <c r="AC516" s="319"/>
      <c r="AD516" s="319"/>
      <c r="AE516" s="323"/>
      <c r="AF516" s="305" t="str">
        <f t="shared" si="70"/>
        <v>Muy baja</v>
      </c>
      <c r="AG516" s="145">
        <f>IF(Y516=[16]Listas!$G$53,AG515-(AG515*AB516),AG515)</f>
        <v>0.14399999999999999</v>
      </c>
      <c r="AH516" s="562"/>
      <c r="AI516" s="305" t="str">
        <f t="shared" si="75"/>
        <v>Moderado</v>
      </c>
      <c r="AJ516" s="145">
        <f>IF(Y516=[16]Listas!$G$55,AJ515-(AJ515*AB516),AJ515)</f>
        <v>0.6</v>
      </c>
      <c r="AK516" s="562"/>
      <c r="AL516" s="565"/>
      <c r="AM516" s="565"/>
      <c r="AN516" s="565"/>
      <c r="AO516" s="568"/>
      <c r="AP516" s="571"/>
      <c r="AQ516" s="343"/>
      <c r="AR516" s="191"/>
    </row>
    <row r="517" spans="2:44" ht="15.75" hidden="1" customHeight="1" thickTop="1" x14ac:dyDescent="0.35">
      <c r="B517" s="537"/>
      <c r="C517" s="559"/>
      <c r="D517" s="574"/>
      <c r="E517" s="577"/>
      <c r="F517" s="625"/>
      <c r="G517" s="628"/>
      <c r="H517" s="628"/>
      <c r="I517" s="589"/>
      <c r="J517" s="589"/>
      <c r="K517" s="592"/>
      <c r="L517" s="589"/>
      <c r="M517" s="595"/>
      <c r="N517" s="598"/>
      <c r="O517" s="601"/>
      <c r="P517" s="595"/>
      <c r="Q517" s="604"/>
      <c r="R517" s="601"/>
      <c r="S517" s="288"/>
      <c r="T517" s="604"/>
      <c r="U517" s="142" t="s">
        <v>208</v>
      </c>
      <c r="V517" s="415"/>
      <c r="W517" s="331"/>
      <c r="X517" s="320" t="str">
        <f>IF(W517=[16]Listas!$B$46,[16]Listas!$C$46,IF(W517=[16]Listas!$B$47,[16]Listas!$C$47,IF(W517=[16]Listas!$B$48,[16]Listas!$C$48,"")))</f>
        <v/>
      </c>
      <c r="Y517" s="321" t="str">
        <f>IF(OR(W517=[16]Listas!$F$53,W517=[16]Listas!$F$54),[16]Listas!$G$53,IF(W517=[16]Listas!$F$55,[16]Listas!$G$55,""))</f>
        <v/>
      </c>
      <c r="Z517" s="331"/>
      <c r="AA517" s="182" t="str">
        <f>+IF(Z517=[16]Listas!$E$46,[16]Listas!$F$46,IF(Z517=[16]Listas!$E$47,[16]Listas!$F$47,""))</f>
        <v/>
      </c>
      <c r="AB517" s="183" t="str">
        <f t="shared" si="77"/>
        <v/>
      </c>
      <c r="AC517" s="319"/>
      <c r="AD517" s="319"/>
      <c r="AE517" s="323"/>
      <c r="AF517" s="305" t="str">
        <f t="shared" si="70"/>
        <v>Muy baja</v>
      </c>
      <c r="AG517" s="145">
        <f>IF(Y517=[16]Listas!$G$53,AG516-(AG516*AB517),AG516)</f>
        <v>0.14399999999999999</v>
      </c>
      <c r="AH517" s="562"/>
      <c r="AI517" s="305" t="str">
        <f t="shared" si="75"/>
        <v>Moderado</v>
      </c>
      <c r="AJ517" s="145">
        <f>IF(Y517=[16]Listas!$G$55,AJ516-(AJ516*AB517),AJ516)</f>
        <v>0.6</v>
      </c>
      <c r="AK517" s="562"/>
      <c r="AL517" s="565"/>
      <c r="AM517" s="565"/>
      <c r="AN517" s="565"/>
      <c r="AO517" s="568"/>
      <c r="AP517" s="571"/>
      <c r="AQ517" s="344"/>
      <c r="AR517" s="191"/>
    </row>
    <row r="518" spans="2:44" ht="15" hidden="1" customHeight="1" thickTop="1" x14ac:dyDescent="0.35">
      <c r="B518" s="537"/>
      <c r="C518" s="559"/>
      <c r="D518" s="574"/>
      <c r="E518" s="577"/>
      <c r="F518" s="625"/>
      <c r="G518" s="628"/>
      <c r="H518" s="628"/>
      <c r="I518" s="589"/>
      <c r="J518" s="589"/>
      <c r="K518" s="592"/>
      <c r="L518" s="589"/>
      <c r="M518" s="595"/>
      <c r="N518" s="598"/>
      <c r="O518" s="601"/>
      <c r="P518" s="595"/>
      <c r="Q518" s="604"/>
      <c r="R518" s="601"/>
      <c r="S518" s="289"/>
      <c r="T518" s="604"/>
      <c r="U518" s="142" t="s">
        <v>215</v>
      </c>
      <c r="V518" s="418"/>
      <c r="W518" s="331"/>
      <c r="X518" s="320" t="str">
        <f>IF(W518=[16]Listas!$B$46,[16]Listas!$C$46,IF(W518=[16]Listas!$B$47,[16]Listas!$C$47,IF(W518=[16]Listas!$B$48,[16]Listas!$C$48,"")))</f>
        <v/>
      </c>
      <c r="Y518" s="321" t="str">
        <f>IF(OR(W518=[16]Listas!$F$53,W518=[16]Listas!$F$54),[16]Listas!$G$53,IF(W518=[16]Listas!$F$55,[16]Listas!$G$55,""))</f>
        <v/>
      </c>
      <c r="Z518" s="331"/>
      <c r="AA518" s="182" t="str">
        <f>+IF(Z518=[16]Listas!$E$46,[16]Listas!$F$46,IF(Z518=[16]Listas!$E$47,[16]Listas!$F$47,""))</f>
        <v/>
      </c>
      <c r="AB518" s="183" t="str">
        <f t="shared" si="77"/>
        <v/>
      </c>
      <c r="AC518" s="319"/>
      <c r="AD518" s="322"/>
      <c r="AE518" s="323"/>
      <c r="AF518" s="305" t="str">
        <f t="shared" si="70"/>
        <v>Muy baja</v>
      </c>
      <c r="AG518" s="145">
        <f>IF(Y518=[16]Listas!$G$53,AG517-(AG517*AB518),AG517)</f>
        <v>0.14399999999999999</v>
      </c>
      <c r="AH518" s="562"/>
      <c r="AI518" s="305" t="str">
        <f t="shared" si="75"/>
        <v>Moderado</v>
      </c>
      <c r="AJ518" s="145">
        <f>IF(Y518=[16]Listas!$G$55,AJ517-(AJ517*AB518),AJ517)</f>
        <v>0.6</v>
      </c>
      <c r="AK518" s="562"/>
      <c r="AL518" s="565"/>
      <c r="AM518" s="565"/>
      <c r="AN518" s="565"/>
      <c r="AO518" s="568"/>
      <c r="AP518" s="571"/>
      <c r="AQ518" s="345"/>
      <c r="AR518" s="191"/>
    </row>
    <row r="519" spans="2:44" ht="15" hidden="1" customHeight="1" thickTop="1" x14ac:dyDescent="0.35">
      <c r="B519" s="537"/>
      <c r="C519" s="559"/>
      <c r="D519" s="574"/>
      <c r="E519" s="577"/>
      <c r="F519" s="625"/>
      <c r="G519" s="628"/>
      <c r="H519" s="628"/>
      <c r="I519" s="589"/>
      <c r="J519" s="589"/>
      <c r="K519" s="592"/>
      <c r="L519" s="589"/>
      <c r="M519" s="595"/>
      <c r="N519" s="598"/>
      <c r="O519" s="601"/>
      <c r="P519" s="595"/>
      <c r="Q519" s="604"/>
      <c r="R519" s="601"/>
      <c r="S519" s="289"/>
      <c r="T519" s="604"/>
      <c r="U519" s="142" t="s">
        <v>220</v>
      </c>
      <c r="V519" s="418"/>
      <c r="W519" s="331"/>
      <c r="X519" s="320" t="str">
        <f>IF(W519=[16]Listas!$B$46,[16]Listas!$C$46,IF(W519=[16]Listas!$B$47,[16]Listas!$C$47,IF(W519=[16]Listas!$B$48,[16]Listas!$C$48,"")))</f>
        <v/>
      </c>
      <c r="Y519" s="321" t="str">
        <f>IF(OR(W519=[16]Listas!$F$53,W519=[16]Listas!$F$54),[16]Listas!$G$53,IF(W519=[16]Listas!$F$55,[16]Listas!$G$55,""))</f>
        <v/>
      </c>
      <c r="Z519" s="331"/>
      <c r="AA519" s="182" t="str">
        <f>+IF(Z519=[16]Listas!$E$46,[16]Listas!$F$46,IF(Z519=[16]Listas!$E$47,[16]Listas!$F$47,""))</f>
        <v/>
      </c>
      <c r="AB519" s="183" t="str">
        <f t="shared" si="77"/>
        <v/>
      </c>
      <c r="AC519" s="319"/>
      <c r="AD519" s="322"/>
      <c r="AE519" s="323"/>
      <c r="AF519" s="305" t="str">
        <f t="shared" si="70"/>
        <v>Muy baja</v>
      </c>
      <c r="AG519" s="145">
        <f>IF(Y519=[16]Listas!$G$53,AG518-(AG518*AB519),AG518)</f>
        <v>0.14399999999999999</v>
      </c>
      <c r="AH519" s="562"/>
      <c r="AI519" s="305" t="str">
        <f t="shared" si="75"/>
        <v>Moderado</v>
      </c>
      <c r="AJ519" s="145">
        <f>IF(Y519=[16]Listas!$G$55,AJ518-(AJ518*AB519),AJ518)</f>
        <v>0.6</v>
      </c>
      <c r="AK519" s="562"/>
      <c r="AL519" s="565"/>
      <c r="AM519" s="565"/>
      <c r="AN519" s="565"/>
      <c r="AO519" s="568"/>
      <c r="AP519" s="571"/>
      <c r="AQ519" s="343"/>
      <c r="AR519" s="191"/>
    </row>
    <row r="520" spans="2:44" ht="15" hidden="1" customHeight="1" thickTop="1" x14ac:dyDescent="0.35">
      <c r="B520" s="537"/>
      <c r="C520" s="559"/>
      <c r="D520" s="574"/>
      <c r="E520" s="577"/>
      <c r="F520" s="625"/>
      <c r="G520" s="628"/>
      <c r="H520" s="628"/>
      <c r="I520" s="589"/>
      <c r="J520" s="589"/>
      <c r="K520" s="592"/>
      <c r="L520" s="589"/>
      <c r="M520" s="595"/>
      <c r="N520" s="598"/>
      <c r="O520" s="601"/>
      <c r="P520" s="595"/>
      <c r="Q520" s="604"/>
      <c r="R520" s="601"/>
      <c r="S520" s="289"/>
      <c r="T520" s="604"/>
      <c r="U520" s="142" t="s">
        <v>223</v>
      </c>
      <c r="V520" s="418"/>
      <c r="W520" s="331"/>
      <c r="X520" s="320" t="str">
        <f>IF(W520=[16]Listas!$B$46,[16]Listas!$C$46,IF(W520=[16]Listas!$B$47,[16]Listas!$C$47,IF(W520=[16]Listas!$B$48,[16]Listas!$C$48,"")))</f>
        <v/>
      </c>
      <c r="Y520" s="321" t="str">
        <f>IF(OR(W520=[16]Listas!$F$53,W520=[16]Listas!$F$54),[16]Listas!$G$53,IF(W520=[16]Listas!$F$55,[16]Listas!$G$55,""))</f>
        <v/>
      </c>
      <c r="Z520" s="331"/>
      <c r="AA520" s="182" t="str">
        <f>+IF(Z520=[16]Listas!$E$46,[16]Listas!$F$46,IF(Z520=[16]Listas!$E$47,[16]Listas!$F$47,""))</f>
        <v/>
      </c>
      <c r="AB520" s="183" t="str">
        <f t="shared" si="77"/>
        <v/>
      </c>
      <c r="AC520" s="319"/>
      <c r="AD520" s="322"/>
      <c r="AE520" s="323"/>
      <c r="AF520" s="305" t="str">
        <f t="shared" si="70"/>
        <v>Muy baja</v>
      </c>
      <c r="AG520" s="145">
        <f>IF(Y520=[16]Listas!$G$53,AG519-(AG519*AB520),AG519)</f>
        <v>0.14399999999999999</v>
      </c>
      <c r="AH520" s="562"/>
      <c r="AI520" s="305" t="str">
        <f t="shared" si="75"/>
        <v>Moderado</v>
      </c>
      <c r="AJ520" s="145">
        <f>IF(Y520=[16]Listas!$G$55,AJ519-(AJ519*AB520),AJ519)</f>
        <v>0.6</v>
      </c>
      <c r="AK520" s="562"/>
      <c r="AL520" s="565"/>
      <c r="AM520" s="565"/>
      <c r="AN520" s="565"/>
      <c r="AO520" s="568"/>
      <c r="AP520" s="571"/>
      <c r="AQ520" s="344"/>
      <c r="AR520" s="191"/>
    </row>
    <row r="521" spans="2:44" ht="15.75" hidden="1" customHeight="1" thickTop="1" x14ac:dyDescent="0.35">
      <c r="B521" s="537"/>
      <c r="C521" s="559"/>
      <c r="D521" s="575"/>
      <c r="E521" s="578"/>
      <c r="F521" s="626"/>
      <c r="G521" s="629"/>
      <c r="H521" s="629"/>
      <c r="I521" s="590"/>
      <c r="J521" s="590"/>
      <c r="K521" s="593"/>
      <c r="L521" s="590"/>
      <c r="M521" s="596"/>
      <c r="N521" s="599"/>
      <c r="O521" s="602"/>
      <c r="P521" s="596"/>
      <c r="Q521" s="605"/>
      <c r="R521" s="602"/>
      <c r="S521" s="293"/>
      <c r="T521" s="605"/>
      <c r="U521" s="202" t="s">
        <v>224</v>
      </c>
      <c r="V521" s="416"/>
      <c r="W521" s="335"/>
      <c r="X521" s="336" t="str">
        <f>IF(W521=[16]Listas!$B$46,[16]Listas!$C$46,IF(W521=[16]Listas!$B$47,[16]Listas!$C$47,IF(W521=[16]Listas!$B$48,[16]Listas!$C$48,"")))</f>
        <v/>
      </c>
      <c r="Y521" s="337" t="str">
        <f>IF(OR(W521=[16]Listas!$F$53,W521=[16]Listas!$F$54),[16]Listas!$G$53,IF(W521=[16]Listas!$F$55,[16]Listas!$G$55,""))</f>
        <v/>
      </c>
      <c r="Z521" s="335"/>
      <c r="AA521" s="186" t="str">
        <f>+IF(Z521=[16]Listas!$E$46,[16]Listas!$F$46,IF(Z521=[16]Listas!$E$47,[16]Listas!$F$47,""))</f>
        <v/>
      </c>
      <c r="AB521" s="187" t="str">
        <f t="shared" si="77"/>
        <v/>
      </c>
      <c r="AC521" s="338"/>
      <c r="AD521" s="339"/>
      <c r="AE521" s="340"/>
      <c r="AF521" s="311" t="str">
        <f t="shared" si="70"/>
        <v>Muy baja</v>
      </c>
      <c r="AG521" s="179">
        <f>IF(Y521=[16]Listas!$G$53,AG520-(AG520*AB521),AG520)</f>
        <v>0.14399999999999999</v>
      </c>
      <c r="AH521" s="563"/>
      <c r="AI521" s="311" t="str">
        <f t="shared" si="75"/>
        <v>Moderado</v>
      </c>
      <c r="AJ521" s="179">
        <f>IF(Y521=[16]Listas!$G$55,AJ520-(AJ520*AB521),AJ520)</f>
        <v>0.6</v>
      </c>
      <c r="AK521" s="563"/>
      <c r="AL521" s="566"/>
      <c r="AM521" s="566"/>
      <c r="AN521" s="566"/>
      <c r="AO521" s="569"/>
      <c r="AP521" s="572"/>
      <c r="AQ521" s="346"/>
      <c r="AR521" s="192"/>
    </row>
    <row r="522" spans="2:44" ht="85" thickTop="1" thickBot="1" x14ac:dyDescent="0.4">
      <c r="B522" s="537"/>
      <c r="C522" s="559"/>
      <c r="D522" s="573" t="s">
        <v>680</v>
      </c>
      <c r="E522" s="576" t="s">
        <v>5</v>
      </c>
      <c r="F522" s="624" t="s">
        <v>681</v>
      </c>
      <c r="G522" s="627" t="s">
        <v>682</v>
      </c>
      <c r="H522" s="627" t="s">
        <v>683</v>
      </c>
      <c r="I522" s="588" t="s">
        <v>28</v>
      </c>
      <c r="J522" s="588" t="s">
        <v>22</v>
      </c>
      <c r="K522" s="591" t="s">
        <v>684</v>
      </c>
      <c r="L522" s="588" t="s">
        <v>186</v>
      </c>
      <c r="M522" s="594" t="s">
        <v>222</v>
      </c>
      <c r="N522" s="597" t="str">
        <f>+IF(M522="","",IF(M522=$BO$15,$BN$15,IF(M522=$BO$16,$BN$16,IF(M522=$BO$17,$BN$17,IF(M522=$BO$18,$BN$18,IF(M522=$BO$19,$BN$19))))))</f>
        <v>Muy Alta</v>
      </c>
      <c r="O522" s="600">
        <f>+IF(M522="","",IF(M522=$BO$15,$BR$15,IF(M522=$BO$16,$BR$16,IF(M522=$BO$17,$BR$17,IF(M522=$BO$18,$BR$18,IF(M522=$BO$19,$BR$19))))))</f>
        <v>1</v>
      </c>
      <c r="P522" s="594" t="s">
        <v>170</v>
      </c>
      <c r="Q522" s="603" t="str">
        <f>+IF(P522="","",IF(P522='[16]Mapa de Calor inherente'!$AF$6,'[16]Mapa de Calor inherente'!$AD$6,IF(P522='[16]Mapa de Calor inherente'!$AF$7,'[16]Mapa de Calor inherente'!$AD$7,IF(P522='[16]Mapa de Calor inherente'!$AF$8,'[16]Mapa de Calor inherente'!$AD$8,IF(P522='[16]Mapa de Calor inherente'!$AF$9,'[16]Mapa de Calor inherente'!$AD$9,IF(P522='[16]Mapa de Calor inherente'!$AF$10,'[16]Mapa de Calor inherente'!$AD$10,IF(P522='[16]Mapa de Calor inherente'!$AG$6,'[16]Mapa de Calor inherente'!$AD$6,IF(P522='[16]Mapa de Calor inherente'!$AG$7,'[16]Mapa de Calor inherente'!$AD$7,IF(P522='[16]Mapa de Calor inherente'!$AG$8,'[16]Mapa de Calor inherente'!$AD$8,IF(P522='[16]Mapa de Calor inherente'!$AG$9,'[16]Mapa de Calor inherente'!$AD$9,IF(P522='[16]Mapa de Calor inherente'!$AG$10,'[16]Mapa de Calor inherente'!$AD$10,IF(P522='[16]Mapa de Calor inherente'!$AD$8,'[16]Mapa de Calor inherente'!$AD$8,IF(P522='[16]Mapa de Calor inherente'!$AD$9,'[16]Mapa de Calor inherente'!$AD$9,IF(P522='[16]Mapa de Calor inherente'!$AD$10,'[16]Mapa de Calor inherente'!$AD$10))))))))))))))</f>
        <v>Catastrófico</v>
      </c>
      <c r="R522" s="600">
        <f>+IF(P522="","",IF(P522='[16]Mapa de Calor inherente'!$AF$6,'[16]Mapa de Calor inherente'!$AE$6,IF(P522='[16]Mapa de Calor inherente'!$AF$7,'[16]Mapa de Calor inherente'!$AE$7,IF(P522='[16]Mapa de Calor inherente'!$AF$8,'[16]Mapa de Calor inherente'!$AE$8,IF(P522='[16]Mapa de Calor inherente'!$AF$9,'[16]Mapa de Calor inherente'!$AE$9,IF(P522='[16]Mapa de Calor inherente'!$AF$10,'[16]Mapa de Calor inherente'!$AE$10,IF(P522='[16]Mapa de Calor inherente'!$AG$6,'[16]Mapa de Calor inherente'!$AE$6,IF(P522='[16]Mapa de Calor inherente'!$AG$7,'[16]Mapa de Calor inherente'!$AE$7,IF(P522='[16]Mapa de Calor inherente'!$AG$8,'[16]Mapa de Calor inherente'!$AE$8,IF(P522='[16]Mapa de Calor inherente'!$AG$9,'[16]Mapa de Calor inherente'!$AE$9,IF(P522='[16]Mapa de Calor inherente'!$AG$10,'[16]Mapa de Calor inherente'!$AE$10,IF(P522='[16]Mapa de Calor inherente'!$AD$8,'[16]Mapa de Calor inherente'!$AE$8,IF(P522='[16]Mapa de Calor inherente'!$AD$9,'[16]Mapa de Calor inherente'!$AE$9,IF(P522='[16]Mapa de Calor inherente'!$AD$10,'[16]Mapa de Calor inherente'!$AE$10))))))))))))))</f>
        <v>1</v>
      </c>
      <c r="S522" s="292"/>
      <c r="T522" s="603" t="str">
        <f>+IF(N522=$BB$17,IF(Q522=$BC$16,$BC$17,IF(Q522=$BD$16,$BD$17,IF(Q522=$BE$16,$BE$17,IF(Q522=$BF$16,$BF$17,IF(Q522=$BG$16,$BG$17))))),IF(N522=$BB$18,IF(Q522=$BC$16,$BC$18,IF(Q522=$BD$16,$BD$18,IF(Q522=$BE$16,$BE$18,IF(Q522=$BF$16,$BF$18,IF(Q522=$BG$16,$BG$18))))),IF(N522=$BB$19,IF(Q522=$BC$16,$BC$19,IF(Q522=$BD$16,$BD$19,IF(Q522=$BE$16,$BE$19,IF(Q522=$BF$16,$BF$19,IF(Q522=$BG$16,$BG$19))))),IF(N522=$BB$20,IF(Q522=$BC$16,$BC$20,IF(Q522=$BD$16,$BD$20,IF(Q522=$BE$16,$BE$20,IF(Q522=$BF$16,$BF$20,IF(Q522=$BG$16,$BG$20))))),IF(N522=$BB$21,IF(Q522=$BC$16,$BC$21,IF(Q522=$BD$16,$BD$21,IF(Q522=$BE$16,$BE$21,IF(Q522=$BF$16,$BF$21,IF(Q522=$BG$16,$BG$21))))),"")))))</f>
        <v>Extremo</v>
      </c>
      <c r="U522" s="139" t="s">
        <v>171</v>
      </c>
      <c r="V522" s="455" t="s">
        <v>685</v>
      </c>
      <c r="W522" s="313" t="s">
        <v>40</v>
      </c>
      <c r="X522" s="314">
        <f>IF(W522=[16]Listas!$B$46,[16]Listas!$C$46,IF(W522=[16]Listas!$B$47,[16]Listas!$C$47,IF(W522=[16]Listas!$B$48,[16]Listas!$C$48,"")))</f>
        <v>0.25</v>
      </c>
      <c r="Y522" s="315" t="str">
        <f>IF(OR(W522=[16]Listas!$F$53,W522=[16]Listas!$F$54),[16]Listas!$G$53,IF(W522=[16]Listas!$F$55,[16]Listas!$G$55,""))</f>
        <v>Probabilidad</v>
      </c>
      <c r="Z522" s="313" t="s">
        <v>43</v>
      </c>
      <c r="AA522" s="314">
        <f>+IF(Z522=[16]Listas!$E$46,[16]Listas!$F$46,IF(Z522=[16]Listas!$E$47,[16]Listas!$F$47,""))</f>
        <v>0.15</v>
      </c>
      <c r="AB522" s="181">
        <f>IFERROR(X522+AA522,"")</f>
        <v>0.4</v>
      </c>
      <c r="AC522" s="313" t="s">
        <v>57</v>
      </c>
      <c r="AD522" s="316" t="s">
        <v>65</v>
      </c>
      <c r="AE522" s="317" t="s">
        <v>59</v>
      </c>
      <c r="AF522" s="299" t="str">
        <f t="shared" si="70"/>
        <v>Media</v>
      </c>
      <c r="AG522" s="141">
        <f>IF(Y522=[16]Listas!$G$53,O522-(O522*AB522),O522)</f>
        <v>0.6</v>
      </c>
      <c r="AH522" s="561">
        <f>+IF(AG531="","",AG531)</f>
        <v>0.18</v>
      </c>
      <c r="AI522" s="299" t="str">
        <f>IF(AJ522="","",IF(AJ522&lt;=20%,"Leve",IF(AJ522&lt;=40%,"Menor",IF(AJ522&lt;=60%,"Moderado",IF(AJ522&lt;=80%,"Mayor","Catastrófico")))))</f>
        <v>Catastrófico</v>
      </c>
      <c r="AJ522" s="141">
        <f>IF(Y522=[16]Listas!$G$55,R522-(R522*AB522),R522)</f>
        <v>1</v>
      </c>
      <c r="AK522" s="561">
        <f>+IF(AJ531="","",AJ531)</f>
        <v>1</v>
      </c>
      <c r="AL522" s="564" t="str">
        <f>+IF(AH522=0,"",IF(AH522&lt;=$BA$21,$BB$21,IF(AH522&lt;=$BA$20,$BB$20,IF(AH522&lt;=$BA$19,$BB$19,IF(AH522&lt;=$BA$18,$BB$18,IF(AH522&lt;=$BA$17,$BB$17,""))))))</f>
        <v>Muy Baja</v>
      </c>
      <c r="AM522" s="564" t="str">
        <f>+IF(AK522=0,"",IF(AK522&lt;=$BC$15,$BC$16,IF(AK522&lt;=$BD$15,$BD$16,IF(AK522&lt;=$BE$15,$BE$16,IF(AK522&lt;=$BF$15,$BF$16,IF(AK522&lt;=$BG$15,$BG$16,""))))))</f>
        <v>Catastrófico</v>
      </c>
      <c r="AN522" s="564" t="str">
        <f>IF(AL522=$BB$17,IF(AM522=$BC$16,$BC$17,IF(AM522=$BD$16,$BD$17,IF(AM522=$BE$16,$BE$17,IF(AM522=$BF$16,$BF$17,IF(AM522=$BG$16,$BG$17))))),IF(AL522=$BB$18,IF(AM522=$BC$16,$BC$18,IF(AM522=$BD$16,$BD$18,IF(AM522=$BE$16,$BE$18,IF(AM522=$BF$16,$BF$18,IF(AM522=$BG$16,$BG$18))))),IF(AL522=$BB$19,IF(AM522=$BC$16,$BC$19,IF(AM522=$BD$16,$BD$19,IF(AM522=$BE$16,$BE$19,IF(AM522=$BF$16,$BF$19,IF(AM522=$BG$16,$BG$19))))),IF(AL522=$BB$20,IF(AM522=$BC$16,$BC$20,IF(AM522=$BD$16,$BD$20,IF(AM522=$BE$16,$BE$20,IF(AM522=$BF$16,$BF$20,IF(AM522=$BG$16,$BG$20))))),IF(AL522=$BB$21,IF(AM522=$BC$16,$BC$21,IF(AM522=$BD$16,$BD$21,IF(AM522=$BE$16,$BE$21,IF(AM522=$BF$16,$BF$21,IF(AM522=$BG$16,$BG$21))))),"")))))</f>
        <v>Extremo</v>
      </c>
      <c r="AO522" s="567" t="str">
        <f>IF(AP522="","",IF(AP522=[16]Listas!$F$61,[16]Listas!$G$61,IF(AP522=[16]Listas!$F$63,[16]Listas!$G$63,IF(AP522=[16]Listas!$F$64,[16]Listas!$G$64))))</f>
        <v>Requiere Plan de Acción</v>
      </c>
      <c r="AP522" s="570" t="str">
        <f>IF(AN522="","",IF(OR(AN522=[16]Listas!$E$61,AN522=[16]Listas!$E$62),[16]Listas!$F$61,IF(AN522=[16]Listas!$E$63,[16]Listas!$F$63,IF(AN522=[16]Listas!$E$64,[16]Listas!$F$64))))</f>
        <v>Reducir, evitar, compartir o transferir el riesgo</v>
      </c>
      <c r="AQ522" s="342" t="s">
        <v>90</v>
      </c>
      <c r="AR522" s="119" t="s">
        <v>261</v>
      </c>
    </row>
    <row r="523" spans="2:44" ht="85" thickTop="1" thickBot="1" x14ac:dyDescent="0.4">
      <c r="B523" s="537"/>
      <c r="C523" s="559"/>
      <c r="D523" s="574"/>
      <c r="E523" s="577"/>
      <c r="F523" s="625"/>
      <c r="G523" s="628"/>
      <c r="H523" s="628"/>
      <c r="I523" s="589"/>
      <c r="J523" s="589"/>
      <c r="K523" s="592"/>
      <c r="L523" s="589"/>
      <c r="M523" s="595"/>
      <c r="N523" s="598"/>
      <c r="O523" s="601"/>
      <c r="P523" s="595"/>
      <c r="Q523" s="604"/>
      <c r="R523" s="601"/>
      <c r="S523" s="286"/>
      <c r="T523" s="604"/>
      <c r="U523" s="142" t="s">
        <v>174</v>
      </c>
      <c r="V523" s="418" t="s">
        <v>686</v>
      </c>
      <c r="W523" s="319" t="s">
        <v>40</v>
      </c>
      <c r="X523" s="320">
        <f>IF(W523=[16]Listas!$B$46,[16]Listas!$C$46,IF(W523=[16]Listas!$B$47,[16]Listas!$C$47,IF(W523=[16]Listas!$B$48,[16]Listas!$C$48,"")))</f>
        <v>0.25</v>
      </c>
      <c r="Y523" s="321" t="str">
        <f>IF(OR(W523=[16]Listas!$F$53,W523=[16]Listas!$F$54),[16]Listas!$G$53,IF(W523=[16]Listas!$F$55,[16]Listas!$G$55,""))</f>
        <v>Probabilidad</v>
      </c>
      <c r="Z523" s="319" t="s">
        <v>43</v>
      </c>
      <c r="AA523" s="182">
        <f>+IF(Z523=[16]Listas!$E$46,[16]Listas!$F$46,IF(Z523=[16]Listas!$E$47,[16]Listas!$F$47,""))</f>
        <v>0.15</v>
      </c>
      <c r="AB523" s="183">
        <f>IFERROR(X523+AA523,"")</f>
        <v>0.4</v>
      </c>
      <c r="AC523" s="319" t="s">
        <v>57</v>
      </c>
      <c r="AD523" s="322" t="s">
        <v>65</v>
      </c>
      <c r="AE523" s="323" t="s">
        <v>59</v>
      </c>
      <c r="AF523" s="305" t="str">
        <f t="shared" si="70"/>
        <v>Baja</v>
      </c>
      <c r="AG523" s="145">
        <f>IF(Y523=[16]Listas!$G$53,AG522-(AG522*AB523),AG522)</f>
        <v>0.36</v>
      </c>
      <c r="AH523" s="562"/>
      <c r="AI523" s="305" t="str">
        <f t="shared" si="75"/>
        <v>Catastrófico</v>
      </c>
      <c r="AJ523" s="145">
        <f>IF(Y523=[16]Listas!$G$55,AJ522-(AJ522*AB523),AJ522)</f>
        <v>1</v>
      </c>
      <c r="AK523" s="562"/>
      <c r="AL523" s="565"/>
      <c r="AM523" s="565"/>
      <c r="AN523" s="565"/>
      <c r="AO523" s="568"/>
      <c r="AP523" s="571"/>
      <c r="AQ523" s="344" t="s">
        <v>90</v>
      </c>
      <c r="AR523" s="191" t="s">
        <v>263</v>
      </c>
    </row>
    <row r="524" spans="2:44" ht="207.75" customHeight="1" thickTop="1" thickBot="1" x14ac:dyDescent="0.4">
      <c r="B524" s="537"/>
      <c r="C524" s="559"/>
      <c r="D524" s="574"/>
      <c r="E524" s="577"/>
      <c r="F524" s="625"/>
      <c r="G524" s="628"/>
      <c r="H524" s="628"/>
      <c r="I524" s="589"/>
      <c r="J524" s="589"/>
      <c r="K524" s="592"/>
      <c r="L524" s="589"/>
      <c r="M524" s="595"/>
      <c r="N524" s="598"/>
      <c r="O524" s="601"/>
      <c r="P524" s="595"/>
      <c r="Q524" s="604"/>
      <c r="R524" s="601"/>
      <c r="S524" s="287"/>
      <c r="T524" s="604"/>
      <c r="U524" s="142" t="s">
        <v>180</v>
      </c>
      <c r="V524" s="418" t="s">
        <v>687</v>
      </c>
      <c r="W524" s="319" t="s">
        <v>40</v>
      </c>
      <c r="X524" s="320">
        <f>IF(W524=[16]Listas!$B$46,[16]Listas!$C$46,IF(W524=[16]Listas!$B$47,[16]Listas!$C$47,IF(W524=[16]Listas!$B$48,[16]Listas!$C$48,"")))</f>
        <v>0.25</v>
      </c>
      <c r="Y524" s="321" t="str">
        <f>IF(OR(W524=[16]Listas!$F$53,W524=[16]Listas!$F$54),[16]Listas!$G$53,IF(W524=[16]Listas!$F$55,[16]Listas!$G$55,""))</f>
        <v>Probabilidad</v>
      </c>
      <c r="Z524" s="319" t="s">
        <v>41</v>
      </c>
      <c r="AA524" s="182">
        <f>+IF(Z524=[16]Listas!$E$46,[16]Listas!$F$46,IF(Z524=[16]Listas!$E$47,[16]Listas!$F$47,""))</f>
        <v>0.25</v>
      </c>
      <c r="AB524" s="183">
        <f>IFERROR(X524+AA524,"")</f>
        <v>0.5</v>
      </c>
      <c r="AC524" s="319" t="s">
        <v>57</v>
      </c>
      <c r="AD524" s="322" t="s">
        <v>65</v>
      </c>
      <c r="AE524" s="323" t="s">
        <v>59</v>
      </c>
      <c r="AF524" s="305" t="str">
        <f t="shared" ref="AF524:AF587" si="78">IF(AG524="","",IF(AG524&lt;=20%,"Muy baja",IF(AG524&lt;=40%,"Baja",IF(AG524&lt;=60%,"Media",IF(AG524&lt;=80%,"Alta","Muy alta")))))</f>
        <v>Muy baja</v>
      </c>
      <c r="AG524" s="145">
        <f>IF(Y524=[16]Listas!$G$53,AG523-(AG523*AB524),AG523)</f>
        <v>0.18</v>
      </c>
      <c r="AH524" s="562"/>
      <c r="AI524" s="305" t="str">
        <f t="shared" si="75"/>
        <v>Catastrófico</v>
      </c>
      <c r="AJ524" s="145">
        <f>IF(Y524=[16]Listas!$G$55,AJ523-(AJ523*AB524),AJ523)</f>
        <v>1</v>
      </c>
      <c r="AK524" s="562"/>
      <c r="AL524" s="565"/>
      <c r="AM524" s="565"/>
      <c r="AN524" s="565"/>
      <c r="AO524" s="568"/>
      <c r="AP524" s="571"/>
      <c r="AQ524" s="344" t="s">
        <v>90</v>
      </c>
      <c r="AR524" s="191" t="s">
        <v>679</v>
      </c>
    </row>
    <row r="525" spans="2:44" ht="15.65" hidden="1" customHeight="1" x14ac:dyDescent="0.35">
      <c r="B525" s="537"/>
      <c r="C525" s="280"/>
      <c r="D525" s="574"/>
      <c r="E525" s="577"/>
      <c r="F525" s="625"/>
      <c r="G525" s="628"/>
      <c r="H525" s="628"/>
      <c r="I525" s="589"/>
      <c r="J525" s="589"/>
      <c r="K525" s="592"/>
      <c r="L525" s="589"/>
      <c r="M525" s="595"/>
      <c r="N525" s="598"/>
      <c r="O525" s="601"/>
      <c r="P525" s="595"/>
      <c r="Q525" s="604"/>
      <c r="R525" s="601"/>
      <c r="S525" s="287"/>
      <c r="T525" s="604"/>
      <c r="U525" s="142" t="s">
        <v>190</v>
      </c>
      <c r="V525" s="415"/>
      <c r="W525" s="319"/>
      <c r="X525" s="320" t="str">
        <f>IF(W525=[16]Listas!$B$46,[16]Listas!$C$46,IF(W525=[16]Listas!$B$47,[16]Listas!$C$47,IF(W525=[16]Listas!$B$48,[16]Listas!$C$48,"")))</f>
        <v/>
      </c>
      <c r="Y525" s="321" t="str">
        <f>IF(OR(W525=[16]Listas!$F$53,W525=[16]Listas!$F$54),[16]Listas!$G$53,IF(W525=[16]Listas!$F$55,[16]Listas!$G$55,""))</f>
        <v/>
      </c>
      <c r="Z525" s="319"/>
      <c r="AA525" s="182" t="str">
        <f>+IF(Z525=[16]Listas!$E$46,[16]Listas!$F$46,IF(Z525=[16]Listas!$E$47,[16]Listas!$F$47,""))</f>
        <v/>
      </c>
      <c r="AB525" s="183" t="str">
        <f t="shared" ref="AB525:AB531" si="79">IFERROR(X525+AA525,"")</f>
        <v/>
      </c>
      <c r="AC525" s="319"/>
      <c r="AD525" s="322"/>
      <c r="AE525" s="323"/>
      <c r="AF525" s="305" t="str">
        <f t="shared" si="78"/>
        <v>Muy baja</v>
      </c>
      <c r="AG525" s="145">
        <f>IF(Y525=[16]Listas!$G$53,AG524-(AG524*AB525),AG524)</f>
        <v>0.18</v>
      </c>
      <c r="AH525" s="562"/>
      <c r="AI525" s="305" t="str">
        <f t="shared" si="75"/>
        <v>Catastrófico</v>
      </c>
      <c r="AJ525" s="145">
        <f>IF(Y525=[16]Listas!$G$55,AJ524-(AJ524*AB525),AJ524)</f>
        <v>1</v>
      </c>
      <c r="AK525" s="562"/>
      <c r="AL525" s="565"/>
      <c r="AM525" s="565"/>
      <c r="AN525" s="565"/>
      <c r="AO525" s="568"/>
      <c r="AP525" s="571"/>
      <c r="AQ525" s="344"/>
      <c r="AR525" s="191"/>
    </row>
    <row r="526" spans="2:44" ht="15.65" hidden="1" customHeight="1" thickBot="1" x14ac:dyDescent="0.4">
      <c r="B526" s="537"/>
      <c r="C526" s="280"/>
      <c r="D526" s="574"/>
      <c r="E526" s="577"/>
      <c r="F526" s="625"/>
      <c r="G526" s="628"/>
      <c r="H526" s="628"/>
      <c r="I526" s="589"/>
      <c r="J526" s="589"/>
      <c r="K526" s="592"/>
      <c r="L526" s="589"/>
      <c r="M526" s="595"/>
      <c r="N526" s="598"/>
      <c r="O526" s="601"/>
      <c r="P526" s="595"/>
      <c r="Q526" s="604"/>
      <c r="R526" s="601"/>
      <c r="S526" s="287"/>
      <c r="T526" s="604"/>
      <c r="U526" s="142" t="s">
        <v>198</v>
      </c>
      <c r="V526" s="415"/>
      <c r="W526" s="319"/>
      <c r="X526" s="320" t="str">
        <f>IF(W526=[16]Listas!$B$46,[16]Listas!$C$46,IF(W526=[16]Listas!$B$47,[16]Listas!$C$47,IF(W526=[16]Listas!$B$48,[16]Listas!$C$48,"")))</f>
        <v/>
      </c>
      <c r="Y526" s="321" t="str">
        <f>IF(OR(W526=[16]Listas!$F$53,W526=[16]Listas!$F$54),[16]Listas!$G$53,IF(W526=[16]Listas!$F$55,[16]Listas!$G$55,""))</f>
        <v/>
      </c>
      <c r="Z526" s="319"/>
      <c r="AA526" s="182" t="str">
        <f>+IF(Z526=[16]Listas!$E$46,[16]Listas!$F$46,IF(Z526=[16]Listas!$E$47,[16]Listas!$F$47,""))</f>
        <v/>
      </c>
      <c r="AB526" s="183" t="str">
        <f t="shared" si="79"/>
        <v/>
      </c>
      <c r="AC526" s="319"/>
      <c r="AD526" s="322"/>
      <c r="AE526" s="323"/>
      <c r="AF526" s="305" t="str">
        <f t="shared" si="78"/>
        <v>Muy baja</v>
      </c>
      <c r="AG526" s="145">
        <f>IF(Y526=[16]Listas!$G$53,AG525-(AG525*AB526),AG525)</f>
        <v>0.18</v>
      </c>
      <c r="AH526" s="562"/>
      <c r="AI526" s="305" t="str">
        <f t="shared" si="75"/>
        <v>Catastrófico</v>
      </c>
      <c r="AJ526" s="145">
        <f>IF(Y526=[16]Listas!$G$55,AJ525-(AJ525*AB526),AJ525)</f>
        <v>1</v>
      </c>
      <c r="AK526" s="562"/>
      <c r="AL526" s="565"/>
      <c r="AM526" s="565"/>
      <c r="AN526" s="565"/>
      <c r="AO526" s="568"/>
      <c r="AP526" s="571"/>
      <c r="AQ526" s="344"/>
      <c r="AR526" s="191"/>
    </row>
    <row r="527" spans="2:44" ht="16" hidden="1" customHeight="1" thickTop="1" thickBot="1" x14ac:dyDescent="0.4">
      <c r="B527" s="537"/>
      <c r="C527" s="280"/>
      <c r="D527" s="574"/>
      <c r="E527" s="577"/>
      <c r="F527" s="625"/>
      <c r="G527" s="628"/>
      <c r="H527" s="628"/>
      <c r="I527" s="589"/>
      <c r="J527" s="589"/>
      <c r="K527" s="592"/>
      <c r="L527" s="589"/>
      <c r="M527" s="595"/>
      <c r="N527" s="598"/>
      <c r="O527" s="601"/>
      <c r="P527" s="595"/>
      <c r="Q527" s="604"/>
      <c r="R527" s="601"/>
      <c r="S527" s="288"/>
      <c r="T527" s="604"/>
      <c r="U527" s="142" t="s">
        <v>208</v>
      </c>
      <c r="V527" s="415"/>
      <c r="W527" s="319"/>
      <c r="X527" s="320" t="str">
        <f>IF(W527=[16]Listas!$B$46,[16]Listas!$C$46,IF(W527=[16]Listas!$B$47,[16]Listas!$C$47,IF(W527=[16]Listas!$B$48,[16]Listas!$C$48,"")))</f>
        <v/>
      </c>
      <c r="Y527" s="321" t="str">
        <f>IF(OR(W527=[16]Listas!$F$53,W527=[16]Listas!$F$54),[16]Listas!$G$53,IF(W527=[16]Listas!$F$55,[16]Listas!$G$55,""))</f>
        <v/>
      </c>
      <c r="Z527" s="319"/>
      <c r="AA527" s="182" t="str">
        <f>+IF(Z527=[16]Listas!$E$46,[16]Listas!$F$46,IF(Z527=[16]Listas!$E$47,[16]Listas!$F$47,""))</f>
        <v/>
      </c>
      <c r="AB527" s="183" t="str">
        <f t="shared" si="79"/>
        <v/>
      </c>
      <c r="AC527" s="319"/>
      <c r="AD527" s="322"/>
      <c r="AE527" s="323"/>
      <c r="AF527" s="305" t="str">
        <f t="shared" si="78"/>
        <v>Muy baja</v>
      </c>
      <c r="AG527" s="145">
        <f>IF(Y527=[16]Listas!$G$53,AG526-(AG526*AB527),AG526)</f>
        <v>0.18</v>
      </c>
      <c r="AH527" s="562"/>
      <c r="AI527" s="305" t="str">
        <f t="shared" si="75"/>
        <v>Catastrófico</v>
      </c>
      <c r="AJ527" s="145">
        <f>IF(Y527=[16]Listas!$G$55,AJ526-(AJ526*AB527),AJ526)</f>
        <v>1</v>
      </c>
      <c r="AK527" s="562"/>
      <c r="AL527" s="565"/>
      <c r="AM527" s="565"/>
      <c r="AN527" s="565"/>
      <c r="AO527" s="568"/>
      <c r="AP527" s="571"/>
      <c r="AQ527" s="344"/>
      <c r="AR527" s="191"/>
    </row>
    <row r="528" spans="2:44" ht="15.65" hidden="1" customHeight="1" thickTop="1" thickBot="1" x14ac:dyDescent="0.4">
      <c r="B528" s="537"/>
      <c r="C528" s="280"/>
      <c r="D528" s="574"/>
      <c r="E528" s="577"/>
      <c r="F528" s="625"/>
      <c r="G528" s="628"/>
      <c r="H528" s="628"/>
      <c r="I528" s="589"/>
      <c r="J528" s="589"/>
      <c r="K528" s="592"/>
      <c r="L528" s="589"/>
      <c r="M528" s="595"/>
      <c r="N528" s="598"/>
      <c r="O528" s="601"/>
      <c r="P528" s="595"/>
      <c r="Q528" s="604"/>
      <c r="R528" s="601"/>
      <c r="S528" s="289"/>
      <c r="T528" s="604"/>
      <c r="U528" s="142" t="s">
        <v>215</v>
      </c>
      <c r="V528" s="418"/>
      <c r="W528" s="331"/>
      <c r="X528" s="320" t="str">
        <f>IF(W528=[16]Listas!$B$46,[16]Listas!$C$46,IF(W528=[16]Listas!$B$47,[16]Listas!$C$47,IF(W528=[16]Listas!$B$48,[16]Listas!$C$48,"")))</f>
        <v/>
      </c>
      <c r="Y528" s="321" t="str">
        <f>IF(OR(W528=[16]Listas!$F$53,W528=[16]Listas!$F$54),[16]Listas!$G$53,IF(W528=[16]Listas!$F$55,[16]Listas!$G$55,""))</f>
        <v/>
      </c>
      <c r="Z528" s="331"/>
      <c r="AA528" s="182" t="str">
        <f>+IF(Z528=[16]Listas!$E$46,[16]Listas!$F$46,IF(Z528=[16]Listas!$E$47,[16]Listas!$F$47,""))</f>
        <v/>
      </c>
      <c r="AB528" s="183" t="str">
        <f t="shared" si="79"/>
        <v/>
      </c>
      <c r="AC528" s="319"/>
      <c r="AD528" s="322"/>
      <c r="AE528" s="323"/>
      <c r="AF528" s="305" t="str">
        <f t="shared" si="78"/>
        <v>Muy baja</v>
      </c>
      <c r="AG528" s="145">
        <f>IF(Y528=[16]Listas!$G$53,AG527-(AG527*AB528),AG527)</f>
        <v>0.18</v>
      </c>
      <c r="AH528" s="562"/>
      <c r="AI528" s="305" t="str">
        <f t="shared" si="75"/>
        <v>Catastrófico</v>
      </c>
      <c r="AJ528" s="145">
        <f>IF(Y528=[16]Listas!$G$55,AJ527-(AJ527*AB528),AJ527)</f>
        <v>1</v>
      </c>
      <c r="AK528" s="562"/>
      <c r="AL528" s="565"/>
      <c r="AM528" s="565"/>
      <c r="AN528" s="565"/>
      <c r="AO528" s="568"/>
      <c r="AP528" s="571"/>
      <c r="AQ528" s="344"/>
      <c r="AR528" s="191"/>
    </row>
    <row r="529" spans="2:70" ht="15.65" hidden="1" customHeight="1" thickTop="1" thickBot="1" x14ac:dyDescent="0.4">
      <c r="B529" s="537"/>
      <c r="C529" s="280"/>
      <c r="D529" s="574"/>
      <c r="E529" s="577"/>
      <c r="F529" s="625"/>
      <c r="G529" s="628"/>
      <c r="H529" s="628"/>
      <c r="I529" s="589"/>
      <c r="J529" s="589"/>
      <c r="K529" s="592"/>
      <c r="L529" s="589"/>
      <c r="M529" s="595"/>
      <c r="N529" s="598"/>
      <c r="O529" s="601"/>
      <c r="P529" s="595"/>
      <c r="Q529" s="604"/>
      <c r="R529" s="601"/>
      <c r="S529" s="289"/>
      <c r="T529" s="604"/>
      <c r="U529" s="142" t="s">
        <v>220</v>
      </c>
      <c r="V529" s="418"/>
      <c r="W529" s="331"/>
      <c r="X529" s="320" t="str">
        <f>IF(W529=[16]Listas!$B$46,[16]Listas!$C$46,IF(W529=[16]Listas!$B$47,[16]Listas!$C$47,IF(W529=[16]Listas!$B$48,[16]Listas!$C$48,"")))</f>
        <v/>
      </c>
      <c r="Y529" s="321" t="str">
        <f>IF(OR(W529=[16]Listas!$F$53,W529=[16]Listas!$F$54),[16]Listas!$G$53,IF(W529=[16]Listas!$F$55,[16]Listas!$G$55,""))</f>
        <v/>
      </c>
      <c r="Z529" s="331"/>
      <c r="AA529" s="182" t="str">
        <f>+IF(Z529=[16]Listas!$E$46,[16]Listas!$F$46,IF(Z529=[16]Listas!$E$47,[16]Listas!$F$47,""))</f>
        <v/>
      </c>
      <c r="AB529" s="183" t="str">
        <f t="shared" si="79"/>
        <v/>
      </c>
      <c r="AC529" s="319"/>
      <c r="AD529" s="322"/>
      <c r="AE529" s="323"/>
      <c r="AF529" s="305" t="str">
        <f t="shared" si="78"/>
        <v>Muy baja</v>
      </c>
      <c r="AG529" s="145">
        <f>IF(Y529=[16]Listas!$G$53,AG528-(AG528*AB529),AG528)</f>
        <v>0.18</v>
      </c>
      <c r="AH529" s="562"/>
      <c r="AI529" s="305" t="str">
        <f t="shared" si="75"/>
        <v>Catastrófico</v>
      </c>
      <c r="AJ529" s="145">
        <f>IF(Y529=[16]Listas!$G$55,AJ528-(AJ528*AB529),AJ528)</f>
        <v>1</v>
      </c>
      <c r="AK529" s="562"/>
      <c r="AL529" s="565"/>
      <c r="AM529" s="565"/>
      <c r="AN529" s="565"/>
      <c r="AO529" s="568"/>
      <c r="AP529" s="571"/>
      <c r="AQ529" s="344"/>
      <c r="AR529" s="191"/>
    </row>
    <row r="530" spans="2:70" ht="15.65" hidden="1" customHeight="1" thickTop="1" thickBot="1" x14ac:dyDescent="0.4">
      <c r="B530" s="537"/>
      <c r="C530" s="280"/>
      <c r="D530" s="574"/>
      <c r="E530" s="577"/>
      <c r="F530" s="625"/>
      <c r="G530" s="628"/>
      <c r="H530" s="628"/>
      <c r="I530" s="589"/>
      <c r="J530" s="589"/>
      <c r="K530" s="592"/>
      <c r="L530" s="589"/>
      <c r="M530" s="595"/>
      <c r="N530" s="598"/>
      <c r="O530" s="601"/>
      <c r="P530" s="595"/>
      <c r="Q530" s="604"/>
      <c r="R530" s="601"/>
      <c r="S530" s="289"/>
      <c r="T530" s="604"/>
      <c r="U530" s="142" t="s">
        <v>223</v>
      </c>
      <c r="V530" s="418"/>
      <c r="W530" s="331"/>
      <c r="X530" s="320" t="str">
        <f>IF(W530=[16]Listas!$B$46,[16]Listas!$C$46,IF(W530=[16]Listas!$B$47,[16]Listas!$C$47,IF(W530=[16]Listas!$B$48,[16]Listas!$C$48,"")))</f>
        <v/>
      </c>
      <c r="Y530" s="321" t="str">
        <f>IF(OR(W530=[16]Listas!$F$53,W530=[16]Listas!$F$54),[16]Listas!$G$53,IF(W530=[16]Listas!$F$55,[16]Listas!$G$55,""))</f>
        <v/>
      </c>
      <c r="Z530" s="331"/>
      <c r="AA530" s="182" t="str">
        <f>+IF(Z530=[16]Listas!$E$46,[16]Listas!$F$46,IF(Z530=[16]Listas!$E$47,[16]Listas!$F$47,""))</f>
        <v/>
      </c>
      <c r="AB530" s="183" t="str">
        <f t="shared" si="79"/>
        <v/>
      </c>
      <c r="AC530" s="319"/>
      <c r="AD530" s="322"/>
      <c r="AE530" s="323"/>
      <c r="AF530" s="305" t="str">
        <f t="shared" si="78"/>
        <v>Muy baja</v>
      </c>
      <c r="AG530" s="145">
        <f>IF(Y530=[16]Listas!$G$53,AG529-(AG529*AB530),AG529)</f>
        <v>0.18</v>
      </c>
      <c r="AH530" s="562"/>
      <c r="AI530" s="305" t="str">
        <f t="shared" si="75"/>
        <v>Catastrófico</v>
      </c>
      <c r="AJ530" s="145">
        <f>IF(Y530=[16]Listas!$G$55,AJ529-(AJ529*AB530),AJ529)</f>
        <v>1</v>
      </c>
      <c r="AK530" s="562"/>
      <c r="AL530" s="565"/>
      <c r="AM530" s="565"/>
      <c r="AN530" s="565"/>
      <c r="AO530" s="568"/>
      <c r="AP530" s="571"/>
      <c r="AQ530" s="344"/>
      <c r="AR530" s="191"/>
    </row>
    <row r="531" spans="2:70" ht="16" hidden="1" customHeight="1" thickTop="1" thickBot="1" x14ac:dyDescent="0.4">
      <c r="B531" s="537"/>
      <c r="C531" s="280"/>
      <c r="D531" s="575"/>
      <c r="E531" s="578"/>
      <c r="F531" s="626"/>
      <c r="G531" s="629"/>
      <c r="H531" s="629"/>
      <c r="I531" s="590"/>
      <c r="J531" s="590"/>
      <c r="K531" s="593"/>
      <c r="L531" s="590"/>
      <c r="M531" s="596"/>
      <c r="N531" s="599"/>
      <c r="O531" s="602"/>
      <c r="P531" s="596"/>
      <c r="Q531" s="605"/>
      <c r="R531" s="602"/>
      <c r="S531" s="293"/>
      <c r="T531" s="605"/>
      <c r="U531" s="202" t="s">
        <v>224</v>
      </c>
      <c r="V531" s="416"/>
      <c r="W531" s="335"/>
      <c r="X531" s="336" t="str">
        <f>IF(W531=[16]Listas!$B$46,[16]Listas!$C$46,IF(W531=[16]Listas!$B$47,[16]Listas!$C$47,IF(W531=[16]Listas!$B$48,[16]Listas!$C$48,"")))</f>
        <v/>
      </c>
      <c r="Y531" s="337" t="str">
        <f>IF(OR(W531=[16]Listas!$F$53,W531=[16]Listas!$F$54),[16]Listas!$G$53,IF(W531=[16]Listas!$F$55,[16]Listas!$G$55,""))</f>
        <v/>
      </c>
      <c r="Z531" s="335"/>
      <c r="AA531" s="186" t="str">
        <f>+IF(Z531=[16]Listas!$E$46,[16]Listas!$F$46,IF(Z531=[16]Listas!$E$47,[16]Listas!$F$47,""))</f>
        <v/>
      </c>
      <c r="AB531" s="187" t="str">
        <f t="shared" si="79"/>
        <v/>
      </c>
      <c r="AC531" s="338"/>
      <c r="AD531" s="339"/>
      <c r="AE531" s="340"/>
      <c r="AF531" s="311" t="str">
        <f t="shared" si="78"/>
        <v>Muy baja</v>
      </c>
      <c r="AG531" s="179">
        <f>IF(Y531=[16]Listas!$G$53,AG530-(AG530*AB531),AG530)</f>
        <v>0.18</v>
      </c>
      <c r="AH531" s="563"/>
      <c r="AI531" s="311" t="str">
        <f t="shared" si="75"/>
        <v>Catastrófico</v>
      </c>
      <c r="AJ531" s="179">
        <f>IF(Y531=[16]Listas!$G$55,AJ530-(AJ530*AB531),AJ530)</f>
        <v>1</v>
      </c>
      <c r="AK531" s="563"/>
      <c r="AL531" s="566"/>
      <c r="AM531" s="566"/>
      <c r="AN531" s="566"/>
      <c r="AO531" s="569"/>
      <c r="AP531" s="572"/>
      <c r="AQ531" s="346"/>
      <c r="AR531" s="192"/>
    </row>
    <row r="532" spans="2:70" ht="155.25" customHeight="1" thickTop="1" thickBot="1" x14ac:dyDescent="0.4">
      <c r="B532" s="537"/>
      <c r="C532" s="559" t="s">
        <v>105</v>
      </c>
      <c r="D532" s="573" t="s">
        <v>688</v>
      </c>
      <c r="E532" s="704" t="s">
        <v>4</v>
      </c>
      <c r="F532" s="624" t="s">
        <v>689</v>
      </c>
      <c r="G532" s="627" t="s">
        <v>690</v>
      </c>
      <c r="H532" s="627" t="s">
        <v>691</v>
      </c>
      <c r="I532" s="588" t="s">
        <v>20</v>
      </c>
      <c r="J532" s="588" t="s">
        <v>22</v>
      </c>
      <c r="K532" s="591" t="s">
        <v>692</v>
      </c>
      <c r="L532" s="588" t="s">
        <v>168</v>
      </c>
      <c r="M532" s="594" t="s">
        <v>214</v>
      </c>
      <c r="N532" s="597" t="str">
        <f>+IF(M532="","",IF(M532=$BO$15,$BN$15,IF(M532=$BO$16,$BN$16,IF(M532=$BO$17,$BN$17,IF(M532=$BO$18,$BN$18,IF(M532=$BO$19,$BN$19))))))</f>
        <v>Media</v>
      </c>
      <c r="O532" s="600">
        <f>+IF(M532="","",IF(M532=$BO$15,$BR$15,IF(M532=$BO$16,$BR$16,IF(M532=$BO$17,$BR$17,IF(M532=$BO$18,$BR$18,IF(M532=$BO$19,$BR$19))))))</f>
        <v>0.6</v>
      </c>
      <c r="P532" s="594" t="s">
        <v>212</v>
      </c>
      <c r="Q532" s="603" t="str">
        <f>+IF(P532="","",IF(P532='[17]Mapa de Calor inherente'!$AF$6,'[17]Mapa de Calor inherente'!$AD$6,IF(P532='[17]Mapa de Calor inherente'!$AF$7,'[17]Mapa de Calor inherente'!$AD$7,IF(P532='[17]Mapa de Calor inherente'!$AF$8,'[17]Mapa de Calor inherente'!$AD$8,IF(P532='[17]Mapa de Calor inherente'!$AF$9,'[17]Mapa de Calor inherente'!$AD$9,IF(P532='[17]Mapa de Calor inherente'!$AF$10,'[17]Mapa de Calor inherente'!$AD$10,IF(P532='[17]Mapa de Calor inherente'!$AG$6,'[17]Mapa de Calor inherente'!$AD$6,IF(P532='[17]Mapa de Calor inherente'!$AG$7,'[17]Mapa de Calor inherente'!$AD$7,IF(P532='[17]Mapa de Calor inherente'!$AG$8,'[17]Mapa de Calor inherente'!$AD$8,IF(P532='[17]Mapa de Calor inherente'!$AG$9,'[17]Mapa de Calor inherente'!$AD$9,IF(P532='[17]Mapa de Calor inherente'!$AG$10,'[17]Mapa de Calor inherente'!$AD$10,IF(P532='[17]Mapa de Calor inherente'!$AD$8,'[17]Mapa de Calor inherente'!$AD$8,IF(P532='[17]Mapa de Calor inherente'!$AD$9,'[17]Mapa de Calor inherente'!$AD$9,IF(P532='[17]Mapa de Calor inherente'!$AD$10,'[17]Mapa de Calor inherente'!$AD$10))))))))))))))</f>
        <v>Moderado</v>
      </c>
      <c r="R532" s="600">
        <f>+IF(P532="","",IF(P532='[17]Mapa de Calor inherente'!$AF$6,'[17]Mapa de Calor inherente'!$AE$6,IF(P532='[17]Mapa de Calor inherente'!$AF$7,'[17]Mapa de Calor inherente'!$AE$7,IF(P532='[17]Mapa de Calor inherente'!$AF$8,'[17]Mapa de Calor inherente'!$AE$8,IF(P532='[17]Mapa de Calor inherente'!$AF$9,'[17]Mapa de Calor inherente'!$AE$9,IF(P532='[17]Mapa de Calor inherente'!$AF$10,'[17]Mapa de Calor inherente'!$AE$10,IF(P532='[17]Mapa de Calor inherente'!$AG$6,'[17]Mapa de Calor inherente'!$AE$6,IF(P532='[17]Mapa de Calor inherente'!$AG$7,'[17]Mapa de Calor inherente'!$AE$7,IF(P532='[17]Mapa de Calor inherente'!$AG$8,'[17]Mapa de Calor inherente'!$AE$8,IF(P532='[17]Mapa de Calor inherente'!$AG$9,'[17]Mapa de Calor inherente'!$AE$9,IF(P532='[17]Mapa de Calor inherente'!$AG$10,'[17]Mapa de Calor inherente'!$AE$10,IF(P532='[17]Mapa de Calor inherente'!$AD$8,'[17]Mapa de Calor inherente'!$AE$8,IF(P532='[17]Mapa de Calor inherente'!$AD$9,'[17]Mapa de Calor inherente'!$AE$9,IF(P532='[17]Mapa de Calor inherente'!$AD$10,'[17]Mapa de Calor inherente'!$AE$10))))))))))))))</f>
        <v>0.6</v>
      </c>
      <c r="S532" s="282">
        <f>IF(O532="","",IF(R532="","",(O532*R532)))</f>
        <v>0.36</v>
      </c>
      <c r="T532" s="603" t="str">
        <f>+IF(N532=$BB$17,IF(Q532=$BC$16,$BC$17,IF(Q532=$BD$16,$BD$17,IF(Q532=$BE$16,$BE$17,IF(Q532=$BF$16,$BF$17,IF(Q532=$BG$16,$BG$17))))),IF(N532=$BB$18,IF(Q532=$BC$16,$BC$18,IF(Q532=$BD$16,$BD$18,IF(Q532=$BE$16,$BE$18,IF(Q532=$BF$16,$BF$18,IF(Q532=$BG$16,$BG$18))))),IF(N532=$BB$19,IF(Q532=$BC$16,$BC$19,IF(Q532=$BD$16,$BD$19,IF(Q532=$BE$16,$BE$19,IF(Q532=$BF$16,$BF$19,IF(Q532=$BG$16,$BG$19))))),IF(N532=$BB$20,IF(Q532=$BC$16,$BC$20,IF(Q532=$BD$16,$BD$20,IF(Q532=$BE$16,$BE$20,IF(Q532=$BF$16,$BF$20,IF(Q532=$BG$16,$BG$20))))),IF(N532=$BB$21,IF(Q532=$BC$16,$BC$21,IF(Q532=$BD$16,$BD$21,IF(Q532=$BE$16,$BE$21,IF(Q532=$BF$16,$BF$21,IF(Q532=$BG$16,$BG$21))))),"")))))</f>
        <v>Moderado</v>
      </c>
      <c r="U532" s="139" t="s">
        <v>171</v>
      </c>
      <c r="V532" s="483" t="s">
        <v>693</v>
      </c>
      <c r="W532" s="295" t="s">
        <v>40</v>
      </c>
      <c r="X532" s="296">
        <f>IF(W532=[17]Listas!$B$46,[17]Listas!$C$46,IF(W532=[17]Listas!$B$47,[17]Listas!$C$47,IF(W532=[17]Listas!$B$48,[17]Listas!$C$48,"")))</f>
        <v>0.25</v>
      </c>
      <c r="Y532" s="297" t="str">
        <f>IF(OR(W532=[17]Listas!$F$53,W532=[17]Listas!$F$54),[17]Listas!$G$53,IF(W532=[17]Listas!$F$55,[17]Listas!$G$55,""))</f>
        <v>Probabilidad</v>
      </c>
      <c r="Z532" s="295" t="s">
        <v>43</v>
      </c>
      <c r="AA532" s="296">
        <f>+IF(Z532=[17]Listas!$E$46,[17]Listas!$F$46,IF(Z532=[17]Listas!$E$47,[17]Listas!$F$47,""))</f>
        <v>0.15</v>
      </c>
      <c r="AB532" s="140">
        <f>IFERROR(X532+AA532,"")</f>
        <v>0.4</v>
      </c>
      <c r="AC532" s="291" t="s">
        <v>57</v>
      </c>
      <c r="AD532" s="295" t="s">
        <v>58</v>
      </c>
      <c r="AE532" s="298" t="s">
        <v>59</v>
      </c>
      <c r="AF532" s="299" t="str">
        <f t="shared" si="78"/>
        <v>Baja</v>
      </c>
      <c r="AG532" s="141">
        <f>IF(Y532=[17]Listas!$G$53,O532-(O532*AB532),O532)</f>
        <v>0.36</v>
      </c>
      <c r="AH532" s="561">
        <f>+IF(AG541="","",AG541)</f>
        <v>6.4799999999999996E-2</v>
      </c>
      <c r="AI532" s="299" t="str">
        <f>IF(AJ532="","",IF(AJ532&lt;=20%,"Leve",IF(AJ532&lt;=40%,"Menor",IF(AJ532&lt;=60%,"Moderado",IF(AJ532&lt;=80%,"Mayor","Catastrófico")))))</f>
        <v>Moderado</v>
      </c>
      <c r="AJ532" s="141">
        <f>IF(Y532=[17]Listas!$G$55,R532-(R532*AB532),R532)</f>
        <v>0.6</v>
      </c>
      <c r="AK532" s="561">
        <f>+IF(AJ541="","",AJ541)</f>
        <v>0.6</v>
      </c>
      <c r="AL532" s="564" t="str">
        <f>+IF(AH532=0,"",IF(AH532&lt;=$BA$21,$BB$21,IF(AH532&lt;=$BA$20,$BB$20,IF(AH532&lt;=$BA$19,$BB$19,IF(AH532&lt;=$BA$18,$BB$18,IF(AH532&lt;=$BA$17,$BB$17,""))))))</f>
        <v>Muy Baja</v>
      </c>
      <c r="AM532" s="564" t="str">
        <f>+IF(AK532=0,"",IF(AK532&lt;=$BC$15,$BC$16,IF(AK532&lt;=$BD$15,$BD$16,IF(AK532&lt;=$BE$15,$BE$16,IF(AK532&lt;=$BF$15,$BF$16,IF(AK532&lt;=$BG$15,$BG$16,""))))))</f>
        <v>Moderado</v>
      </c>
      <c r="AN532" s="564" t="str">
        <f>IF(AL532=$BB$17,IF(AM532=$BC$16,$BC$17,IF(AM532=$BD$16,$BD$17,IF(AM532=$BE$16,$BE$17,IF(AM532=$BF$16,$BF$17,IF(AM532=$BG$16,$BG$17))))),IF(AL532=$BB$18,IF(AM532=$BC$16,$BC$18,IF(AM532=$BD$16,$BD$18,IF(AM532=$BE$16,$BE$18,IF(AM532=$BF$16,$BF$18,IF(AM532=$BG$16,$BG$18))))),IF(AL532=$BB$19,IF(AM532=$BC$16,$BC$19,IF(AM532=$BD$16,$BD$19,IF(AM532=$BE$16,$BE$19,IF(AM532=$BF$16,$BF$19,IF(AM532=$BG$16,$BG$19))))),IF(AL532=$BB$20,IF(AM532=$BC$16,$BC$20,IF(AM532=$BD$16,$BD$20,IF(AM532=$BE$16,$BE$20,IF(AM532=$BF$16,$BF$20,IF(AM532=$BG$16,$BG$20))))),IF(AL532=$BB$21,IF(AM532=$BC$16,$BC$21,IF(AM532=$BD$16,$BD$21,IF(AM532=$BE$16,$BE$21,IF(AM532=$BF$16,$BF$21,IF(AM532=$BG$16,$BG$21))))),"")))))</f>
        <v>Moderado</v>
      </c>
      <c r="AO532" s="567" t="str">
        <f>IF(AP532="","",IF(AP532=[17]Listas!$F$61,[17]Listas!$G$61,IF(AP532=[17]Listas!$F$63,[17]Listas!$G$63,IF(AP532=[17]Listas!$F$64,[17]Listas!$G$64))))</f>
        <v>Requiere Plan de Acción</v>
      </c>
      <c r="AP532" s="630" t="str">
        <f>IF(AN532="","",IF(OR(AN532=[17]Listas!$E$61,AN532=[17]Listas!$E$62),[17]Listas!$F$61,IF(AN532=[17]Listas!$E$63,[17]Listas!$F$63,IF(AN532=[17]Listas!$E$64,[17]Listas!$F$64))))</f>
        <v>Aceptar o reducir el riesgo</v>
      </c>
      <c r="AQ532" s="300" t="s">
        <v>80</v>
      </c>
      <c r="AR532" s="119" t="s">
        <v>694</v>
      </c>
    </row>
    <row r="533" spans="2:70" ht="150.75" customHeight="1" thickTop="1" thickBot="1" x14ac:dyDescent="0.35">
      <c r="B533" s="537"/>
      <c r="C533" s="559"/>
      <c r="D533" s="574"/>
      <c r="E533" s="705"/>
      <c r="F533" s="625"/>
      <c r="G533" s="628"/>
      <c r="H533" s="628"/>
      <c r="I533" s="589"/>
      <c r="J533" s="589"/>
      <c r="K533" s="592"/>
      <c r="L533" s="589"/>
      <c r="M533" s="595"/>
      <c r="N533" s="598"/>
      <c r="O533" s="601"/>
      <c r="P533" s="595"/>
      <c r="Q533" s="604"/>
      <c r="R533" s="601"/>
      <c r="S533" s="283"/>
      <c r="T533" s="604"/>
      <c r="U533" s="142" t="s">
        <v>174</v>
      </c>
      <c r="V533" s="484" t="s">
        <v>695</v>
      </c>
      <c r="W533" s="301" t="s">
        <v>40</v>
      </c>
      <c r="X533" s="302">
        <f>IF(W533=[17]Listas!$B$46,[17]Listas!$C$46,IF(W533=[17]Listas!$B$47,[17]Listas!$C$47,IF(W533=[17]Listas!$B$48,[17]Listas!$C$48,"")))</f>
        <v>0.25</v>
      </c>
      <c r="Y533" s="303" t="str">
        <f>IF(OR(W533=[17]Listas!$F$53,W533=[17]Listas!$F$54),[17]Listas!$G$53,IF(W533=[17]Listas!$F$55,[17]Listas!$G$55,""))</f>
        <v>Probabilidad</v>
      </c>
      <c r="Z533" s="301" t="s">
        <v>43</v>
      </c>
      <c r="AA533" s="143">
        <f>+IF(Z533=[17]Listas!$E$46,[17]Listas!$F$46,IF(Z533=[17]Listas!$E$47,[17]Listas!$F$47,""))</f>
        <v>0.15</v>
      </c>
      <c r="AB533" s="144">
        <f>IFERROR(X533+AA533,"")</f>
        <v>0.4</v>
      </c>
      <c r="AC533" s="301" t="s">
        <v>64</v>
      </c>
      <c r="AD533" s="301" t="s">
        <v>58</v>
      </c>
      <c r="AE533" s="304" t="s">
        <v>59</v>
      </c>
      <c r="AF533" s="305" t="str">
        <f t="shared" si="78"/>
        <v>Baja</v>
      </c>
      <c r="AG533" s="145">
        <f>IF(Y533=[17]Listas!$G$53,AG532-(AG532*AB533),AG532)</f>
        <v>0.216</v>
      </c>
      <c r="AH533" s="562"/>
      <c r="AI533" s="305" t="str">
        <f t="shared" ref="AI533:AI551" si="80">IF(AJ533="","",IF(AJ533&lt;=20%,"Leve",IF(AJ533&lt;=40%,"Menor",IF(AJ533&lt;=60%,"Moderado",IF(AJ533&lt;=80%,"Mayor","Catastrófico")))))</f>
        <v>Moderado</v>
      </c>
      <c r="AJ533" s="145">
        <f>IF(Y533=[17]Listas!$G$55,AJ532-(AJ532*AB533),AJ532)</f>
        <v>0.6</v>
      </c>
      <c r="AK533" s="562"/>
      <c r="AL533" s="565"/>
      <c r="AM533" s="565"/>
      <c r="AN533" s="565"/>
      <c r="AO533" s="568"/>
      <c r="AP533" s="631"/>
      <c r="AQ533" s="306" t="s">
        <v>90</v>
      </c>
      <c r="AR533" s="191" t="s">
        <v>696</v>
      </c>
      <c r="AZ533" s="633" t="s">
        <v>177</v>
      </c>
      <c r="BA533" s="634"/>
      <c r="BB533" s="634"/>
      <c r="BC533" s="634"/>
      <c r="BD533" s="634"/>
      <c r="BE533" s="634"/>
      <c r="BF533" s="634"/>
      <c r="BG533" s="635"/>
      <c r="BI533" s="636" t="s">
        <v>178</v>
      </c>
      <c r="BJ533" s="637"/>
      <c r="BK533" s="637"/>
      <c r="BL533" s="638"/>
      <c r="BN533" s="639" t="s">
        <v>179</v>
      </c>
      <c r="BO533" s="640"/>
      <c r="BP533" s="641"/>
      <c r="BQ533" s="641"/>
      <c r="BR533" s="642"/>
    </row>
    <row r="534" spans="2:70" ht="29" thickTop="1" thickBot="1" x14ac:dyDescent="0.35">
      <c r="B534" s="537"/>
      <c r="C534" s="559"/>
      <c r="D534" s="574"/>
      <c r="E534" s="705"/>
      <c r="F534" s="625"/>
      <c r="G534" s="628"/>
      <c r="H534" s="628"/>
      <c r="I534" s="589"/>
      <c r="J534" s="589"/>
      <c r="K534" s="592"/>
      <c r="L534" s="589"/>
      <c r="M534" s="595"/>
      <c r="N534" s="598"/>
      <c r="O534" s="601"/>
      <c r="P534" s="595"/>
      <c r="Q534" s="604"/>
      <c r="R534" s="601"/>
      <c r="S534" s="283"/>
      <c r="T534" s="604"/>
      <c r="U534" s="142" t="s">
        <v>180</v>
      </c>
      <c r="V534" s="485" t="s">
        <v>697</v>
      </c>
      <c r="W534" s="301" t="s">
        <v>40</v>
      </c>
      <c r="X534" s="302">
        <f>IF(W534=[17]Listas!$B$46,[17]Listas!$C$46,IF(W534=[17]Listas!$B$47,[17]Listas!$C$47,IF(W534=[17]Listas!$B$48,[17]Listas!$C$48,"")))</f>
        <v>0.25</v>
      </c>
      <c r="Y534" s="303" t="str">
        <f>IF(OR(W534=[17]Listas!$F$53,W534=[17]Listas!$F$54),[17]Listas!$G$53,IF(W534=[17]Listas!$F$55,[17]Listas!$G$55,""))</f>
        <v>Probabilidad</v>
      </c>
      <c r="Z534" s="301" t="s">
        <v>43</v>
      </c>
      <c r="AA534" s="143">
        <f>+IF(Z534=[17]Listas!$E$46,[17]Listas!$F$46,IF(Z534=[17]Listas!$E$47,[17]Listas!$F$47,""))</f>
        <v>0.15</v>
      </c>
      <c r="AB534" s="144">
        <f>IFERROR(X534+AA534,"")</f>
        <v>0.4</v>
      </c>
      <c r="AC534" s="301" t="s">
        <v>64</v>
      </c>
      <c r="AD534" s="301" t="s">
        <v>58</v>
      </c>
      <c r="AE534" s="304" t="s">
        <v>59</v>
      </c>
      <c r="AF534" s="305" t="str">
        <f t="shared" si="78"/>
        <v>Muy baja</v>
      </c>
      <c r="AG534" s="145">
        <f>IF(Y534=[17]Listas!$G$53,AG533-(AG533*AB534),AG533)</f>
        <v>0.12959999999999999</v>
      </c>
      <c r="AH534" s="562"/>
      <c r="AI534" s="305" t="str">
        <f t="shared" si="80"/>
        <v>Moderado</v>
      </c>
      <c r="AJ534" s="145">
        <f>IF(Y534=[17]Listas!$G$55,AJ533-(AJ533*AB534),AJ533)</f>
        <v>0.6</v>
      </c>
      <c r="AK534" s="562"/>
      <c r="AL534" s="565"/>
      <c r="AM534" s="565"/>
      <c r="AN534" s="565"/>
      <c r="AO534" s="568"/>
      <c r="AP534" s="631"/>
      <c r="AQ534" s="306"/>
      <c r="AR534" s="191"/>
      <c r="AZ534" s="146"/>
      <c r="BA534" s="147"/>
      <c r="BB534" s="148"/>
      <c r="BC534" s="643" t="s">
        <v>70</v>
      </c>
      <c r="BD534" s="643"/>
      <c r="BE534" s="643"/>
      <c r="BF534" s="643"/>
      <c r="BG534" s="643"/>
      <c r="BI534" s="149" t="s">
        <v>183</v>
      </c>
      <c r="BJ534" s="150" t="s">
        <v>184</v>
      </c>
      <c r="BK534" s="150" t="s">
        <v>185</v>
      </c>
      <c r="BL534" s="151" t="s">
        <v>186</v>
      </c>
      <c r="BN534" s="149" t="s">
        <v>183</v>
      </c>
      <c r="BO534" s="150" t="s">
        <v>187</v>
      </c>
      <c r="BP534" s="152" t="s">
        <v>188</v>
      </c>
      <c r="BQ534" s="152" t="s">
        <v>189</v>
      </c>
      <c r="BR534" s="151" t="s">
        <v>60</v>
      </c>
    </row>
    <row r="535" spans="2:70" ht="183" customHeight="1" thickTop="1" thickBot="1" x14ac:dyDescent="0.4">
      <c r="B535" s="537"/>
      <c r="C535" s="559"/>
      <c r="D535" s="574"/>
      <c r="E535" s="705"/>
      <c r="F535" s="625"/>
      <c r="G535" s="628"/>
      <c r="H535" s="628"/>
      <c r="I535" s="589"/>
      <c r="J535" s="589"/>
      <c r="K535" s="592"/>
      <c r="L535" s="589"/>
      <c r="M535" s="595"/>
      <c r="N535" s="598"/>
      <c r="O535" s="601"/>
      <c r="P535" s="595"/>
      <c r="Q535" s="604"/>
      <c r="R535" s="601"/>
      <c r="S535" s="283"/>
      <c r="T535" s="604"/>
      <c r="U535" s="142" t="s">
        <v>190</v>
      </c>
      <c r="V535" s="484" t="s">
        <v>698</v>
      </c>
      <c r="W535" s="301" t="s">
        <v>40</v>
      </c>
      <c r="X535" s="302">
        <f>IF(W535=[17]Listas!$B$46,[17]Listas!$C$46,IF(W535=[17]Listas!$B$47,[17]Listas!$C$47,IF(W535=[17]Listas!$B$48,[17]Listas!$C$48,"")))</f>
        <v>0.25</v>
      </c>
      <c r="Y535" s="303" t="str">
        <f>IF(OR(W535=[17]Listas!$F$53,W535=[17]Listas!$F$54),[17]Listas!$G$53,IF(W535=[17]Listas!$F$55,[17]Listas!$G$55,""))</f>
        <v>Probabilidad</v>
      </c>
      <c r="Z535" s="301" t="s">
        <v>41</v>
      </c>
      <c r="AA535" s="143">
        <f>+IF(Z535=[17]Listas!$E$46,[17]Listas!$F$46,IF(Z535=[17]Listas!$E$47,[17]Listas!$F$47,""))</f>
        <v>0.25</v>
      </c>
      <c r="AB535" s="144">
        <f t="shared" ref="AB535:AB541" si="81">IFERROR(X535+AA535,"")</f>
        <v>0.5</v>
      </c>
      <c r="AC535" s="301" t="s">
        <v>57</v>
      </c>
      <c r="AD535" s="301" t="s">
        <v>58</v>
      </c>
      <c r="AE535" s="304" t="s">
        <v>59</v>
      </c>
      <c r="AF535" s="305" t="str">
        <f t="shared" si="78"/>
        <v>Muy baja</v>
      </c>
      <c r="AG535" s="145">
        <f>IF(Y535=[17]Listas!$G$53,AG534-(AG534*AB535),AG534)</f>
        <v>6.4799999999999996E-2</v>
      </c>
      <c r="AH535" s="562"/>
      <c r="AI535" s="305" t="str">
        <f t="shared" si="80"/>
        <v>Moderado</v>
      </c>
      <c r="AJ535" s="145">
        <f>IF(Y535=[17]Listas!$G$55,AJ534-(AJ534*AB535),AJ534)</f>
        <v>0.6</v>
      </c>
      <c r="AK535" s="562"/>
      <c r="AL535" s="565"/>
      <c r="AM535" s="565"/>
      <c r="AN535" s="565"/>
      <c r="AO535" s="568"/>
      <c r="AP535" s="631"/>
      <c r="AQ535" s="306"/>
      <c r="AR535" s="117"/>
      <c r="AZ535" s="153"/>
      <c r="BA535" s="154"/>
      <c r="BB535" s="155" t="s">
        <v>192</v>
      </c>
      <c r="BC535" s="156">
        <v>0.2</v>
      </c>
      <c r="BD535" s="156">
        <v>0.4</v>
      </c>
      <c r="BE535" s="156">
        <v>0.6</v>
      </c>
      <c r="BF535" s="156">
        <v>0.8</v>
      </c>
      <c r="BG535" s="156">
        <v>1</v>
      </c>
      <c r="BI535" s="157" t="s">
        <v>193</v>
      </c>
      <c r="BJ535" s="158">
        <v>0.2</v>
      </c>
      <c r="BK535" s="159" t="s">
        <v>194</v>
      </c>
      <c r="BL535" s="160" t="s">
        <v>195</v>
      </c>
      <c r="BN535" s="157" t="s">
        <v>196</v>
      </c>
      <c r="BO535" s="159" t="s">
        <v>197</v>
      </c>
      <c r="BP535" s="161">
        <v>0</v>
      </c>
      <c r="BQ535" s="161">
        <v>2</v>
      </c>
      <c r="BR535" s="162">
        <v>0.2</v>
      </c>
    </row>
    <row r="536" spans="2:70" ht="30.75" hidden="1" customHeight="1" thickBot="1" x14ac:dyDescent="0.4">
      <c r="B536" s="537"/>
      <c r="C536" s="559"/>
      <c r="D536" s="574"/>
      <c r="E536" s="705"/>
      <c r="F536" s="625"/>
      <c r="G536" s="628"/>
      <c r="H536" s="628"/>
      <c r="I536" s="589"/>
      <c r="J536" s="589"/>
      <c r="K536" s="592"/>
      <c r="L536" s="589"/>
      <c r="M536" s="595"/>
      <c r="N536" s="598"/>
      <c r="O536" s="601"/>
      <c r="P536" s="595"/>
      <c r="Q536" s="604"/>
      <c r="R536" s="601"/>
      <c r="S536" s="283"/>
      <c r="T536" s="604"/>
      <c r="U536" s="142" t="s">
        <v>198</v>
      </c>
      <c r="V536" s="415"/>
      <c r="W536" s="301"/>
      <c r="X536" s="302" t="str">
        <f>IF(W536=[17]Listas!$B$46,[17]Listas!$C$46,IF(W536=[17]Listas!$B$47,[17]Listas!$C$47,IF(W536=[17]Listas!$B$48,[17]Listas!$C$48,"")))</f>
        <v/>
      </c>
      <c r="Y536" s="303" t="str">
        <f>IF(OR(W536=[17]Listas!$F$53,W536=[17]Listas!$F$54),[17]Listas!$G$53,IF(W536=[17]Listas!$F$55,[17]Listas!$G$55,""))</f>
        <v/>
      </c>
      <c r="Z536" s="301"/>
      <c r="AA536" s="143" t="str">
        <f>+IF(Z536=[17]Listas!$E$46,[17]Listas!$F$46,IF(Z536=[17]Listas!$E$47,[17]Listas!$F$47,""))</f>
        <v/>
      </c>
      <c r="AB536" s="144" t="str">
        <f t="shared" si="81"/>
        <v/>
      </c>
      <c r="AC536" s="301"/>
      <c r="AD536" s="301"/>
      <c r="AE536" s="304"/>
      <c r="AF536" s="305" t="str">
        <f t="shared" si="78"/>
        <v>Muy baja</v>
      </c>
      <c r="AG536" s="145">
        <f>IF(Y536=[17]Listas!$G$53,AG535-(AG535*AB536),AG535)</f>
        <v>6.4799999999999996E-2</v>
      </c>
      <c r="AH536" s="562"/>
      <c r="AI536" s="305" t="str">
        <f t="shared" si="80"/>
        <v>Moderado</v>
      </c>
      <c r="AJ536" s="145">
        <f>IF(Y536=[17]Listas!$G$55,AJ535-(AJ535*AB536),AJ535)</f>
        <v>0.6</v>
      </c>
      <c r="AK536" s="562"/>
      <c r="AL536" s="565"/>
      <c r="AM536" s="565"/>
      <c r="AN536" s="565"/>
      <c r="AO536" s="568"/>
      <c r="AP536" s="631"/>
      <c r="AQ536" s="306"/>
      <c r="AR536" s="117"/>
      <c r="AZ536" s="153"/>
      <c r="BA536" s="154"/>
      <c r="BB536" s="163" t="s">
        <v>200</v>
      </c>
      <c r="BC536" s="164" t="s">
        <v>193</v>
      </c>
      <c r="BD536" s="164" t="s">
        <v>201</v>
      </c>
      <c r="BE536" s="164" t="s">
        <v>83</v>
      </c>
      <c r="BF536" s="164" t="s">
        <v>202</v>
      </c>
      <c r="BG536" s="164" t="s">
        <v>203</v>
      </c>
      <c r="BI536" s="165" t="s">
        <v>201</v>
      </c>
      <c r="BJ536" s="158">
        <v>0.4</v>
      </c>
      <c r="BK536" s="166" t="s">
        <v>204</v>
      </c>
      <c r="BL536" s="167" t="s">
        <v>205</v>
      </c>
      <c r="BN536" s="165" t="s">
        <v>206</v>
      </c>
      <c r="BO536" s="166" t="s">
        <v>207</v>
      </c>
      <c r="BP536" s="161">
        <v>3</v>
      </c>
      <c r="BQ536" s="161">
        <v>24</v>
      </c>
      <c r="BR536" s="162">
        <v>0.4</v>
      </c>
    </row>
    <row r="537" spans="2:70" ht="30.75" hidden="1" customHeight="1" thickBot="1" x14ac:dyDescent="0.4">
      <c r="B537" s="537"/>
      <c r="C537" s="559"/>
      <c r="D537" s="574"/>
      <c r="E537" s="705"/>
      <c r="F537" s="625"/>
      <c r="G537" s="628"/>
      <c r="H537" s="628"/>
      <c r="I537" s="589"/>
      <c r="J537" s="589"/>
      <c r="K537" s="592"/>
      <c r="L537" s="589"/>
      <c r="M537" s="595"/>
      <c r="N537" s="598"/>
      <c r="O537" s="601"/>
      <c r="P537" s="595"/>
      <c r="Q537" s="604"/>
      <c r="R537" s="601"/>
      <c r="S537" s="283"/>
      <c r="T537" s="604"/>
      <c r="U537" s="142" t="s">
        <v>208</v>
      </c>
      <c r="V537" s="415"/>
      <c r="W537" s="301"/>
      <c r="X537" s="302" t="str">
        <f>IF(W537=[17]Listas!$B$46,[17]Listas!$C$46,IF(W537=[17]Listas!$B$47,[17]Listas!$C$47,IF(W537=[17]Listas!$B$48,[17]Listas!$C$48,"")))</f>
        <v/>
      </c>
      <c r="Y537" s="303" t="str">
        <f>IF(OR(W537=[17]Listas!$F$53,W537=[17]Listas!$F$54),[17]Listas!$G$53,IF(W537=[17]Listas!$F$55,[17]Listas!$G$55,""))</f>
        <v/>
      </c>
      <c r="Z537" s="301"/>
      <c r="AA537" s="143" t="str">
        <f>+IF(Z537=[17]Listas!$E$46,[17]Listas!$F$46,IF(Z537=[17]Listas!$E$47,[17]Listas!$F$47,""))</f>
        <v/>
      </c>
      <c r="AB537" s="144" t="str">
        <f t="shared" si="81"/>
        <v/>
      </c>
      <c r="AC537" s="301"/>
      <c r="AD537" s="301"/>
      <c r="AE537" s="304"/>
      <c r="AF537" s="305" t="str">
        <f t="shared" si="78"/>
        <v>Muy baja</v>
      </c>
      <c r="AG537" s="145">
        <f>IF(Y537=[17]Listas!$G$53,AG536-(AG536*AB537),AG536)</f>
        <v>6.4799999999999996E-2</v>
      </c>
      <c r="AH537" s="562"/>
      <c r="AI537" s="305" t="str">
        <f t="shared" si="80"/>
        <v>Moderado</v>
      </c>
      <c r="AJ537" s="145">
        <f>IF(Y537=[17]Listas!$G$55,AJ536-(AJ536*AB537),AJ536)</f>
        <v>0.6</v>
      </c>
      <c r="AK537" s="562"/>
      <c r="AL537" s="565"/>
      <c r="AM537" s="565"/>
      <c r="AN537" s="565"/>
      <c r="AO537" s="568"/>
      <c r="AP537" s="631"/>
      <c r="AQ537" s="306"/>
      <c r="AR537" s="117"/>
      <c r="AZ537" s="644" t="s">
        <v>60</v>
      </c>
      <c r="BA537" s="168">
        <v>1</v>
      </c>
      <c r="BB537" s="164" t="s">
        <v>210</v>
      </c>
      <c r="BC537" s="169" t="s">
        <v>81</v>
      </c>
      <c r="BD537" s="169" t="s">
        <v>81</v>
      </c>
      <c r="BE537" s="169" t="s">
        <v>81</v>
      </c>
      <c r="BF537" s="169" t="s">
        <v>81</v>
      </c>
      <c r="BG537" s="170" t="s">
        <v>77</v>
      </c>
      <c r="BI537" s="171" t="s">
        <v>83</v>
      </c>
      <c r="BJ537" s="158">
        <v>0.6</v>
      </c>
      <c r="BK537" s="166" t="s">
        <v>211</v>
      </c>
      <c r="BL537" s="167" t="s">
        <v>212</v>
      </c>
      <c r="BN537" s="171" t="s">
        <v>213</v>
      </c>
      <c r="BO537" s="166" t="s">
        <v>214</v>
      </c>
      <c r="BP537" s="161">
        <v>25</v>
      </c>
      <c r="BQ537" s="161">
        <v>500</v>
      </c>
      <c r="BR537" s="162">
        <v>0.6</v>
      </c>
    </row>
    <row r="538" spans="2:70" ht="30.75" hidden="1" customHeight="1" thickBot="1" x14ac:dyDescent="0.4">
      <c r="B538" s="537"/>
      <c r="C538" s="559"/>
      <c r="D538" s="574"/>
      <c r="E538" s="705"/>
      <c r="F538" s="625"/>
      <c r="G538" s="628"/>
      <c r="H538" s="628"/>
      <c r="I538" s="589"/>
      <c r="J538" s="589"/>
      <c r="K538" s="592"/>
      <c r="L538" s="589"/>
      <c r="M538" s="595"/>
      <c r="N538" s="598"/>
      <c r="O538" s="601"/>
      <c r="P538" s="595"/>
      <c r="Q538" s="604"/>
      <c r="R538" s="601"/>
      <c r="S538" s="283"/>
      <c r="T538" s="604"/>
      <c r="U538" s="142" t="s">
        <v>215</v>
      </c>
      <c r="V538" s="418"/>
      <c r="W538" s="301"/>
      <c r="X538" s="302" t="str">
        <f>IF(W538=[17]Listas!$B$46,[17]Listas!$C$46,IF(W538=[17]Listas!$B$47,[17]Listas!$C$47,IF(W538=[17]Listas!$B$48,[17]Listas!$C$48,"")))</f>
        <v/>
      </c>
      <c r="Y538" s="303" t="str">
        <f>IF(OR(W538=[17]Listas!$F$53,W538=[17]Listas!$F$54),[17]Listas!$G$53,IF(W538=[17]Listas!$F$55,[17]Listas!$G$55,""))</f>
        <v/>
      </c>
      <c r="Z538" s="301"/>
      <c r="AA538" s="143" t="str">
        <f>+IF(Z538=[17]Listas!$E$46,[17]Listas!$F$46,IF(Z538=[17]Listas!$E$47,[17]Listas!$F$47,""))</f>
        <v/>
      </c>
      <c r="AB538" s="144" t="str">
        <f t="shared" si="81"/>
        <v/>
      </c>
      <c r="AC538" s="301"/>
      <c r="AD538" s="301"/>
      <c r="AE538" s="304"/>
      <c r="AF538" s="305" t="str">
        <f t="shared" si="78"/>
        <v>Muy baja</v>
      </c>
      <c r="AG538" s="145">
        <f>IF(Y538=[17]Listas!$G$53,AG537-(AG537*AB538),AG537)</f>
        <v>6.4799999999999996E-2</v>
      </c>
      <c r="AH538" s="562"/>
      <c r="AI538" s="305" t="str">
        <f t="shared" si="80"/>
        <v>Moderado</v>
      </c>
      <c r="AJ538" s="145">
        <f>IF(Y538=[17]Listas!$G$55,AJ537-(AJ537*AB538),AJ537)</f>
        <v>0.6</v>
      </c>
      <c r="AK538" s="562"/>
      <c r="AL538" s="565"/>
      <c r="AM538" s="565"/>
      <c r="AN538" s="565"/>
      <c r="AO538" s="568"/>
      <c r="AP538" s="631"/>
      <c r="AQ538" s="306"/>
      <c r="AR538" s="117"/>
      <c r="AZ538" s="644"/>
      <c r="BA538" s="168">
        <v>0.8</v>
      </c>
      <c r="BB538" s="164" t="s">
        <v>217</v>
      </c>
      <c r="BC538" s="172" t="s">
        <v>83</v>
      </c>
      <c r="BD538" s="172" t="s">
        <v>83</v>
      </c>
      <c r="BE538" s="169" t="s">
        <v>81</v>
      </c>
      <c r="BF538" s="169" t="s">
        <v>81</v>
      </c>
      <c r="BG538" s="170" t="s">
        <v>77</v>
      </c>
      <c r="BI538" s="173" t="s">
        <v>202</v>
      </c>
      <c r="BJ538" s="158">
        <v>0.8</v>
      </c>
      <c r="BK538" s="166" t="s">
        <v>218</v>
      </c>
      <c r="BL538" s="167" t="s">
        <v>219</v>
      </c>
      <c r="BN538" s="173" t="s">
        <v>217</v>
      </c>
      <c r="BO538" s="166" t="s">
        <v>169</v>
      </c>
      <c r="BP538" s="161">
        <v>5001</v>
      </c>
      <c r="BQ538" s="161">
        <v>5000</v>
      </c>
      <c r="BR538" s="162">
        <v>0.8</v>
      </c>
    </row>
    <row r="539" spans="2:70" ht="15" hidden="1" customHeight="1" thickTop="1" x14ac:dyDescent="0.35">
      <c r="B539" s="537"/>
      <c r="C539" s="559"/>
      <c r="D539" s="574"/>
      <c r="E539" s="705"/>
      <c r="F539" s="625"/>
      <c r="G539" s="628"/>
      <c r="H539" s="628"/>
      <c r="I539" s="589"/>
      <c r="J539" s="589"/>
      <c r="K539" s="592"/>
      <c r="L539" s="589"/>
      <c r="M539" s="595"/>
      <c r="N539" s="598"/>
      <c r="O539" s="601"/>
      <c r="P539" s="595"/>
      <c r="Q539" s="604"/>
      <c r="R539" s="601"/>
      <c r="S539" s="283"/>
      <c r="T539" s="604"/>
      <c r="U539" s="142" t="s">
        <v>220</v>
      </c>
      <c r="V539" s="419"/>
      <c r="W539" s="301"/>
      <c r="X539" s="302" t="str">
        <f>IF(W539=[17]Listas!$B$46,[17]Listas!$C$46,IF(W539=[17]Listas!$B$47,[17]Listas!$C$47,IF(W539=[17]Listas!$B$48,[17]Listas!$C$48,"")))</f>
        <v/>
      </c>
      <c r="Y539" s="303" t="str">
        <f>IF(OR(W539=[17]Listas!$F$53,W539=[17]Listas!$F$54),[17]Listas!$G$53,IF(W539=[17]Listas!$F$55,[17]Listas!$G$55,""))</f>
        <v/>
      </c>
      <c r="Z539" s="301"/>
      <c r="AA539" s="143" t="str">
        <f>+IF(Z539=[17]Listas!$E$46,[17]Listas!$F$46,IF(Z539=[17]Listas!$E$47,[17]Listas!$F$47,""))</f>
        <v/>
      </c>
      <c r="AB539" s="144" t="str">
        <f t="shared" si="81"/>
        <v/>
      </c>
      <c r="AC539" s="301"/>
      <c r="AD539" s="301"/>
      <c r="AE539" s="304"/>
      <c r="AF539" s="305" t="str">
        <f t="shared" si="78"/>
        <v>Muy baja</v>
      </c>
      <c r="AG539" s="145">
        <f>IF(Y539=[17]Listas!$G$53,AG538-(AG538*AB539),AG538)</f>
        <v>6.4799999999999996E-2</v>
      </c>
      <c r="AH539" s="562"/>
      <c r="AI539" s="305" t="str">
        <f t="shared" si="80"/>
        <v>Moderado</v>
      </c>
      <c r="AJ539" s="145">
        <f>IF(Y539=[17]Listas!$G$55,AJ538-(AJ538*AB539),AJ538)</f>
        <v>0.6</v>
      </c>
      <c r="AK539" s="562"/>
      <c r="AL539" s="565"/>
      <c r="AM539" s="565"/>
      <c r="AN539" s="565"/>
      <c r="AO539" s="568"/>
      <c r="AP539" s="631"/>
      <c r="AQ539" s="306"/>
      <c r="AR539" s="117"/>
      <c r="AZ539" s="644"/>
      <c r="BA539" s="168">
        <v>0.6</v>
      </c>
      <c r="BB539" s="164" t="s">
        <v>213</v>
      </c>
      <c r="BC539" s="172" t="s">
        <v>83</v>
      </c>
      <c r="BD539" s="172" t="s">
        <v>83</v>
      </c>
      <c r="BE539" s="172" t="s">
        <v>83</v>
      </c>
      <c r="BF539" s="169" t="s">
        <v>81</v>
      </c>
      <c r="BG539" s="170" t="s">
        <v>77</v>
      </c>
      <c r="BI539" s="175" t="s">
        <v>203</v>
      </c>
      <c r="BJ539" s="158">
        <v>1</v>
      </c>
      <c r="BK539" s="166" t="s">
        <v>221</v>
      </c>
      <c r="BL539" s="167" t="s">
        <v>170</v>
      </c>
      <c r="BN539" s="175" t="s">
        <v>210</v>
      </c>
      <c r="BO539" s="166" t="s">
        <v>222</v>
      </c>
      <c r="BP539" s="161">
        <v>5001</v>
      </c>
      <c r="BQ539" s="161"/>
      <c r="BR539" s="162">
        <v>1</v>
      </c>
    </row>
    <row r="540" spans="2:70" ht="15" hidden="1" customHeight="1" thickTop="1" x14ac:dyDescent="0.35">
      <c r="B540" s="537"/>
      <c r="C540" s="559"/>
      <c r="D540" s="574"/>
      <c r="E540" s="705"/>
      <c r="F540" s="625"/>
      <c r="G540" s="628"/>
      <c r="H540" s="628"/>
      <c r="I540" s="589"/>
      <c r="J540" s="589"/>
      <c r="K540" s="592"/>
      <c r="L540" s="589"/>
      <c r="M540" s="595"/>
      <c r="N540" s="598"/>
      <c r="O540" s="601"/>
      <c r="P540" s="595"/>
      <c r="Q540" s="604"/>
      <c r="R540" s="601"/>
      <c r="S540" s="283"/>
      <c r="T540" s="604"/>
      <c r="U540" s="142" t="s">
        <v>223</v>
      </c>
      <c r="V540" s="419"/>
      <c r="W540" s="301"/>
      <c r="X540" s="302" t="str">
        <f>IF(W540=[17]Listas!$B$46,[17]Listas!$C$46,IF(W540=[17]Listas!$B$47,[17]Listas!$C$47,IF(W540=[17]Listas!$B$48,[17]Listas!$C$48,"")))</f>
        <v/>
      </c>
      <c r="Y540" s="303" t="str">
        <f>IF(OR(W540=[17]Listas!$F$53,W540=[17]Listas!$F$54),[17]Listas!$G$53,IF(W540=[17]Listas!$F$55,[17]Listas!$G$55,""))</f>
        <v/>
      </c>
      <c r="Z540" s="301"/>
      <c r="AA540" s="143" t="str">
        <f>+IF(Z540=[17]Listas!$E$46,[17]Listas!$F$46,IF(Z540=[17]Listas!$E$47,[17]Listas!$F$47,""))</f>
        <v/>
      </c>
      <c r="AB540" s="144" t="str">
        <f t="shared" si="81"/>
        <v/>
      </c>
      <c r="AC540" s="301"/>
      <c r="AD540" s="301"/>
      <c r="AE540" s="304"/>
      <c r="AF540" s="305" t="str">
        <f t="shared" si="78"/>
        <v>Muy baja</v>
      </c>
      <c r="AG540" s="145">
        <f>IF(Y540=[17]Listas!$G$53,AG539-(AG539*AB540),AG539)</f>
        <v>6.4799999999999996E-2</v>
      </c>
      <c r="AH540" s="562"/>
      <c r="AI540" s="305" t="str">
        <f t="shared" si="80"/>
        <v>Moderado</v>
      </c>
      <c r="AJ540" s="145">
        <f>IF(Y540=[17]Listas!$G$55,AJ539-(AJ539*AB540),AJ539)</f>
        <v>0.6</v>
      </c>
      <c r="AK540" s="562"/>
      <c r="AL540" s="565"/>
      <c r="AM540" s="565"/>
      <c r="AN540" s="565"/>
      <c r="AO540" s="568"/>
      <c r="AP540" s="631"/>
      <c r="AQ540" s="306"/>
      <c r="AR540" s="117"/>
      <c r="AZ540" s="644"/>
      <c r="BA540" s="168">
        <v>0.4</v>
      </c>
      <c r="BB540" s="164" t="s">
        <v>206</v>
      </c>
      <c r="BC540" s="176" t="s">
        <v>86</v>
      </c>
      <c r="BD540" s="172" t="s">
        <v>83</v>
      </c>
      <c r="BE540" s="172" t="s">
        <v>83</v>
      </c>
      <c r="BF540" s="169" t="s">
        <v>81</v>
      </c>
      <c r="BG540" s="170" t="s">
        <v>77</v>
      </c>
    </row>
    <row r="541" spans="2:70" ht="15.75" hidden="1" customHeight="1" thickTop="1" x14ac:dyDescent="0.35">
      <c r="B541" s="537"/>
      <c r="C541" s="559"/>
      <c r="D541" s="575"/>
      <c r="E541" s="706"/>
      <c r="F541" s="626"/>
      <c r="G541" s="629"/>
      <c r="H541" s="629"/>
      <c r="I541" s="590"/>
      <c r="J541" s="590"/>
      <c r="K541" s="593"/>
      <c r="L541" s="590"/>
      <c r="M541" s="596"/>
      <c r="N541" s="599"/>
      <c r="O541" s="602"/>
      <c r="P541" s="596"/>
      <c r="Q541" s="605"/>
      <c r="R541" s="602"/>
      <c r="S541" s="284"/>
      <c r="T541" s="605"/>
      <c r="U541" s="202" t="s">
        <v>224</v>
      </c>
      <c r="V541" s="420"/>
      <c r="W541" s="307"/>
      <c r="X541" s="308" t="str">
        <f>IF(W541=[17]Listas!$B$46,[17]Listas!$C$46,IF(W541=[17]Listas!$B$47,[17]Listas!$C$47,IF(W541=[17]Listas!$B$48,[17]Listas!$C$48,"")))</f>
        <v/>
      </c>
      <c r="Y541" s="309" t="str">
        <f>IF(OR(W541=[17]Listas!$F$53,W541=[17]Listas!$F$54),[17]Listas!$G$53,IF(W541=[17]Listas!$F$55,[17]Listas!$G$55,""))</f>
        <v/>
      </c>
      <c r="Z541" s="307"/>
      <c r="AA541" s="177" t="str">
        <f>+IF(Z541=[17]Listas!$E$46,[17]Listas!$F$46,IF(Z541=[17]Listas!$E$47,[17]Listas!$F$47,""))</f>
        <v/>
      </c>
      <c r="AB541" s="178" t="str">
        <f t="shared" si="81"/>
        <v/>
      </c>
      <c r="AC541" s="307"/>
      <c r="AD541" s="307"/>
      <c r="AE541" s="310"/>
      <c r="AF541" s="311" t="str">
        <f t="shared" si="78"/>
        <v>Muy baja</v>
      </c>
      <c r="AG541" s="179">
        <f>IF(Y541=[17]Listas!$G$53,AG540-(AG540*AB541),AG540)</f>
        <v>6.4799999999999996E-2</v>
      </c>
      <c r="AH541" s="563"/>
      <c r="AI541" s="311" t="str">
        <f t="shared" si="80"/>
        <v>Moderado</v>
      </c>
      <c r="AJ541" s="179">
        <f>IF(Y541=[17]Listas!$G$55,AJ540-(AJ540*AB541),AJ540)</f>
        <v>0.6</v>
      </c>
      <c r="AK541" s="563"/>
      <c r="AL541" s="566"/>
      <c r="AM541" s="566"/>
      <c r="AN541" s="566"/>
      <c r="AO541" s="569"/>
      <c r="AP541" s="632"/>
      <c r="AQ541" s="312"/>
      <c r="AR541" s="180"/>
      <c r="AZ541" s="644"/>
      <c r="BA541" s="168">
        <v>0.2</v>
      </c>
      <c r="BB541" s="164" t="s">
        <v>196</v>
      </c>
      <c r="BC541" s="176" t="s">
        <v>86</v>
      </c>
      <c r="BD541" s="176" t="s">
        <v>86</v>
      </c>
      <c r="BE541" s="172" t="s">
        <v>83</v>
      </c>
      <c r="BF541" s="169" t="s">
        <v>81</v>
      </c>
      <c r="BG541" s="170" t="s">
        <v>77</v>
      </c>
    </row>
    <row r="542" spans="2:70" ht="192.65" customHeight="1" thickTop="1" thickBot="1" x14ac:dyDescent="0.4">
      <c r="B542" s="537"/>
      <c r="C542" s="559"/>
      <c r="D542" s="573" t="s">
        <v>699</v>
      </c>
      <c r="E542" s="576" t="s">
        <v>4</v>
      </c>
      <c r="F542" s="624" t="s">
        <v>700</v>
      </c>
      <c r="G542" s="627" t="s">
        <v>701</v>
      </c>
      <c r="H542" s="627" t="s">
        <v>702</v>
      </c>
      <c r="I542" s="588" t="s">
        <v>20</v>
      </c>
      <c r="J542" s="588" t="s">
        <v>22</v>
      </c>
      <c r="K542" s="591" t="s">
        <v>703</v>
      </c>
      <c r="L542" s="588" t="s">
        <v>186</v>
      </c>
      <c r="M542" s="594" t="s">
        <v>214</v>
      </c>
      <c r="N542" s="597" t="str">
        <f>+IF(M542="","",IF(M542=$BO$15,$BN$15,IF(M542=$BO$16,$BN$16,IF(M542=$BO$17,$BN$17,IF(M542=$BO$18,$BN$18,IF(M542=$BO$19,$BN$19))))))</f>
        <v>Media</v>
      </c>
      <c r="O542" s="600">
        <f>+IF(M542="","",IF(M542=$BO$15,$BR$15,IF(M542=$BO$16,$BR$16,IF(M542=$BO$17,$BR$17,IF(M542=$BO$18,$BR$18,IF(M542=$BO$19,$BR$19))))))</f>
        <v>0.6</v>
      </c>
      <c r="P542" s="594" t="s">
        <v>212</v>
      </c>
      <c r="Q542" s="603" t="str">
        <f>+IF(P542="","",IF(P542='[17]Mapa de Calor inherente'!$AF$6,'[17]Mapa de Calor inherente'!$AD$6,IF(P542='[17]Mapa de Calor inherente'!$AF$7,'[17]Mapa de Calor inherente'!$AD$7,IF(P542='[17]Mapa de Calor inherente'!$AF$8,'[17]Mapa de Calor inherente'!$AD$8,IF(P542='[17]Mapa de Calor inherente'!$AF$9,'[17]Mapa de Calor inherente'!$AD$9,IF(P542='[17]Mapa de Calor inherente'!$AF$10,'[17]Mapa de Calor inherente'!$AD$10,IF(P542='[17]Mapa de Calor inherente'!$AG$6,'[17]Mapa de Calor inherente'!$AD$6,IF(P542='[17]Mapa de Calor inherente'!$AG$7,'[17]Mapa de Calor inherente'!$AD$7,IF(P542='[17]Mapa de Calor inherente'!$AG$8,'[17]Mapa de Calor inherente'!$AD$8,IF(P542='[17]Mapa de Calor inherente'!$AG$9,'[17]Mapa de Calor inherente'!$AD$9,IF(P542='[17]Mapa de Calor inherente'!$AG$10,'[17]Mapa de Calor inherente'!$AD$10,IF(P542='[17]Mapa de Calor inherente'!$AD$8,'[17]Mapa de Calor inherente'!$AD$8,IF(P542='[17]Mapa de Calor inherente'!$AD$9,'[17]Mapa de Calor inherente'!$AD$9,IF(P542='[17]Mapa de Calor inherente'!$AD$10,'[17]Mapa de Calor inherente'!$AD$10))))))))))))))</f>
        <v>Moderado</v>
      </c>
      <c r="R542" s="600">
        <f>+IF(P542="","",IF(P542='[17]Mapa de Calor inherente'!$AF$6,'[17]Mapa de Calor inherente'!$AE$6,IF(P542='[17]Mapa de Calor inherente'!$AF$7,'[17]Mapa de Calor inherente'!$AE$7,IF(P542='[17]Mapa de Calor inherente'!$AF$8,'[17]Mapa de Calor inherente'!$AE$8,IF(P542='[17]Mapa de Calor inherente'!$AF$9,'[17]Mapa de Calor inherente'!$AE$9,IF(P542='[17]Mapa de Calor inherente'!$AF$10,'[17]Mapa de Calor inherente'!$AE$10,IF(P542='[17]Mapa de Calor inherente'!$AG$6,'[17]Mapa de Calor inherente'!$AE$6,IF(P542='[17]Mapa de Calor inherente'!$AG$7,'[17]Mapa de Calor inherente'!$AE$7,IF(P542='[17]Mapa de Calor inherente'!$AG$8,'[17]Mapa de Calor inherente'!$AE$8,IF(P542='[17]Mapa de Calor inherente'!$AG$9,'[17]Mapa de Calor inherente'!$AE$9,IF(P542='[17]Mapa de Calor inherente'!$AG$10,'[17]Mapa de Calor inherente'!$AE$10,IF(P542='[17]Mapa de Calor inherente'!$AD$8,'[17]Mapa de Calor inherente'!$AE$8,IF(P542='[17]Mapa de Calor inherente'!$AD$9,'[17]Mapa de Calor inherente'!$AE$9,IF(P542='[17]Mapa de Calor inherente'!$AD$10,'[17]Mapa de Calor inherente'!$AE$10))))))))))))))</f>
        <v>0.6</v>
      </c>
      <c r="S542" s="292"/>
      <c r="T542" s="606" t="str">
        <f>+IF(N542=$BB$17,IF(Q542=$BC$16,$BC$17,IF(Q542=$BD$16,$BD$17,IF(Q542=$BE$16,$BE$17,IF(Q542=$BF$16,$BF$17,IF(Q542=$BG$16,$BG$17))))),IF(N542=$BB$18,IF(Q542=$BC$16,$BC$18,IF(Q542=$BD$16,$BD$18,IF(Q542=$BE$16,$BE$18,IF(Q542=$BF$16,$BF$18,IF(Q542=$BG$16,$BG$18))))),IF(N542=$BB$19,IF(Q542=$BC$16,$BC$19,IF(Q542=$BD$16,$BD$19,IF(Q542=$BE$16,$BE$19,IF(Q542=$BF$16,$BF$19,IF(Q542=$BG$16,$BG$19))))),IF(N542=$BB$20,IF(Q542=$BC$16,$BC$20,IF(Q542=$BD$16,$BD$20,IF(Q542=$BE$16,$BE$20,IF(Q542=$BF$16,$BF$20,IF(Q542=$BG$16,$BG$20))))),IF(N542=$BB$21,IF(Q542=$BC$16,$BC$21,IF(Q542=$BD$16,$BD$21,IF(Q542=$BE$16,$BE$21,IF(Q542=$BF$16,$BF$21,IF(Q542=$BG$16,$BG$21))))),"")))))</f>
        <v>Moderado</v>
      </c>
      <c r="U542" s="139" t="s">
        <v>171</v>
      </c>
      <c r="V542" s="436" t="s">
        <v>704</v>
      </c>
      <c r="W542" s="313" t="s">
        <v>40</v>
      </c>
      <c r="X542" s="314">
        <f>IF(W542=[17]Listas!$B$46,[17]Listas!$C$46,IF(W542=[17]Listas!$B$47,[17]Listas!$C$47,IF(W542=[17]Listas!$B$48,[17]Listas!$C$48,"")))</f>
        <v>0.25</v>
      </c>
      <c r="Y542" s="315" t="str">
        <f>IF(OR(W542=[17]Listas!$F$53,W542=[17]Listas!$F$54),[17]Listas!$G$53,IF(W542=[17]Listas!$F$55,[17]Listas!$G$55,""))</f>
        <v>Probabilidad</v>
      </c>
      <c r="Z542" s="313" t="s">
        <v>43</v>
      </c>
      <c r="AA542" s="314">
        <f>+IF(Z542=[17]Listas!$E$46,[17]Listas!$F$46,IF(Z542=[17]Listas!$E$47,[17]Listas!$F$47,""))</f>
        <v>0.15</v>
      </c>
      <c r="AB542" s="181">
        <f>IFERROR(X542+AA542,"")</f>
        <v>0.4</v>
      </c>
      <c r="AC542" s="313" t="s">
        <v>64</v>
      </c>
      <c r="AD542" s="316" t="s">
        <v>58</v>
      </c>
      <c r="AE542" s="317" t="s">
        <v>59</v>
      </c>
      <c r="AF542" s="299" t="str">
        <f t="shared" si="78"/>
        <v>Baja</v>
      </c>
      <c r="AG542" s="141">
        <f>IF(Y542=[17]Listas!$G$53,O542-(O542*AB542),O542)</f>
        <v>0.36</v>
      </c>
      <c r="AH542" s="561">
        <f>+IF(AG551="","",AG551)</f>
        <v>0.216</v>
      </c>
      <c r="AI542" s="299" t="str">
        <f>IF(AJ542="","",IF(AJ542&lt;=20%,"Leve",IF(AJ542&lt;=40%,"Menor",IF(AJ542&lt;=60%,"Moderado",IF(AJ542&lt;=80%,"Mayor","Catastrófico")))))</f>
        <v>Moderado</v>
      </c>
      <c r="AJ542" s="141">
        <f>IF(Y542=[17]Listas!$G$55,R542-(R542*AB542),R542)</f>
        <v>0.6</v>
      </c>
      <c r="AK542" s="561">
        <f>+IF(AJ551="","",AJ551)</f>
        <v>0.6</v>
      </c>
      <c r="AL542" s="564" t="str">
        <f>+IF(AH542=0,"",IF(AH542&lt;=$BA$21,$BB$21,IF(AH542&lt;=$BA$20,$BB$20,IF(AH542&lt;=$BA$19,$BB$19,IF(AH542&lt;=$BA$18,$BB$18,IF(AH542&lt;=$BA$17,$BB$17,""))))))</f>
        <v>Baja</v>
      </c>
      <c r="AM542" s="564" t="str">
        <f>+IF(AK542=0,"",IF(AK542&lt;=$BC$15,$BC$16,IF(AK542&lt;=$BD$15,$BD$16,IF(AK542&lt;=$BE$15,$BE$16,IF(AK542&lt;=$BF$15,$BF$16,IF(AK542&lt;=$BG$15,$BG$16,""))))))</f>
        <v>Moderado</v>
      </c>
      <c r="AN542" s="564" t="str">
        <f>IF(AL542=$BB$17,IF(AM542=$BC$16,$BC$17,IF(AM542=$BD$16,$BD$17,IF(AM542=$BE$16,$BE$17,IF(AM542=$BF$16,$BF$17,IF(AM542=$BG$16,$BG$17))))),IF(AL542=$BB$18,IF(AM542=$BC$16,$BC$18,IF(AM542=$BD$16,$BD$18,IF(AM542=$BE$16,$BE$18,IF(AM542=$BF$16,$BF$18,IF(AM542=$BG$16,$BG$18))))),IF(AL542=$BB$19,IF(AM542=$BC$16,$BC$19,IF(AM542=$BD$16,$BD$19,IF(AM542=$BE$16,$BE$19,IF(AM542=$BF$16,$BF$19,IF(AM542=$BG$16,$BG$19))))),IF(AL542=$BB$20,IF(AM542=$BC$16,$BC$20,IF(AM542=$BD$16,$BD$20,IF(AM542=$BE$16,$BE$20,IF(AM542=$BF$16,$BF$20,IF(AM542=$BG$16,$BG$20))))),IF(AL542=$BB$21,IF(AM542=$BC$16,$BC$21,IF(AM542=$BD$16,$BD$21,IF(AM542=$BE$16,$BE$21,IF(AM542=$BF$16,$BF$21,IF(AM542=$BG$16,$BG$21))))),"")))))</f>
        <v>Moderado</v>
      </c>
      <c r="AO542" s="567" t="str">
        <f>IF(AP542="","",IF(AP542=[17]Listas!$F$61,[17]Listas!$G$61,IF(AP542=[17]Listas!$F$63,[17]Listas!$G$63,IF(AP542=[17]Listas!$F$64,[17]Listas!$G$64))))</f>
        <v>Requiere Plan de Acción</v>
      </c>
      <c r="AP542" s="570" t="str">
        <f>IF(AN542="","",IF(OR(AN542=[17]Listas!$E$61,AN542=[17]Listas!$E$62),[17]Listas!$F$61,IF(AN542=[17]Listas!$E$63,[17]Listas!$F$63,IF(AN542=[17]Listas!$E$64,[17]Listas!$F$64))))</f>
        <v>Aceptar o reducir el riesgo</v>
      </c>
      <c r="AQ542" s="318" t="s">
        <v>80</v>
      </c>
      <c r="AR542" s="245" t="s">
        <v>705</v>
      </c>
    </row>
    <row r="543" spans="2:70" ht="198" customHeight="1" thickTop="1" thickBot="1" x14ac:dyDescent="0.4">
      <c r="B543" s="537"/>
      <c r="C543" s="559"/>
      <c r="D543" s="574"/>
      <c r="E543" s="577"/>
      <c r="F543" s="625"/>
      <c r="G543" s="628"/>
      <c r="H543" s="628"/>
      <c r="I543" s="589"/>
      <c r="J543" s="589"/>
      <c r="K543" s="592"/>
      <c r="L543" s="589"/>
      <c r="M543" s="595"/>
      <c r="N543" s="598"/>
      <c r="O543" s="601"/>
      <c r="P543" s="595"/>
      <c r="Q543" s="604"/>
      <c r="R543" s="601"/>
      <c r="S543" s="286"/>
      <c r="T543" s="607"/>
      <c r="U543" s="142" t="s">
        <v>174</v>
      </c>
      <c r="V543" s="415" t="s">
        <v>706</v>
      </c>
      <c r="W543" s="319" t="s">
        <v>40</v>
      </c>
      <c r="X543" s="320">
        <f>IF(W543=[17]Listas!$B$46,[17]Listas!$C$46,IF(W543=[17]Listas!$B$47,[17]Listas!$C$47,IF(W543=[17]Listas!$B$48,[17]Listas!$C$48,"")))</f>
        <v>0.25</v>
      </c>
      <c r="Y543" s="321" t="str">
        <f>IF(OR(W543=[17]Listas!$F$53,W543=[17]Listas!$F$54),[17]Listas!$G$53,IF(W543=[17]Listas!$F$55,[17]Listas!$G$55,""))</f>
        <v>Probabilidad</v>
      </c>
      <c r="Z543" s="319" t="s">
        <v>43</v>
      </c>
      <c r="AA543" s="182">
        <f>+IF(Z543=[17]Listas!$E$46,[17]Listas!$F$46,IF(Z543=[17]Listas!$E$47,[17]Listas!$F$47,""))</f>
        <v>0.15</v>
      </c>
      <c r="AB543" s="183">
        <f>IFERROR(X543+AA543,"")</f>
        <v>0.4</v>
      </c>
      <c r="AC543" s="319" t="s">
        <v>57</v>
      </c>
      <c r="AD543" s="322" t="s">
        <v>58</v>
      </c>
      <c r="AE543" s="323" t="s">
        <v>59</v>
      </c>
      <c r="AF543" s="305" t="str">
        <f t="shared" si="78"/>
        <v>Baja</v>
      </c>
      <c r="AG543" s="145">
        <f>IF(Y543=[17]Listas!$G$53,AG542-(AG542*AB543),AG542)</f>
        <v>0.216</v>
      </c>
      <c r="AH543" s="562"/>
      <c r="AI543" s="305" t="str">
        <f t="shared" si="80"/>
        <v>Moderado</v>
      </c>
      <c r="AJ543" s="145">
        <f>IF(Y543=[17]Listas!$G$55,AJ542-(AJ542*AB543),AJ542)</f>
        <v>0.6</v>
      </c>
      <c r="AK543" s="562"/>
      <c r="AL543" s="565"/>
      <c r="AM543" s="565"/>
      <c r="AN543" s="565"/>
      <c r="AO543" s="568"/>
      <c r="AP543" s="571"/>
      <c r="AQ543" s="324" t="s">
        <v>90</v>
      </c>
      <c r="AR543" s="185" t="s">
        <v>707</v>
      </c>
    </row>
    <row r="544" spans="2:70" ht="73" hidden="1" customHeight="1" thickTop="1" thickBot="1" x14ac:dyDescent="0.4">
      <c r="B544" s="537"/>
      <c r="C544" s="559"/>
      <c r="D544" s="574"/>
      <c r="E544" s="577"/>
      <c r="F544" s="625"/>
      <c r="G544" s="628"/>
      <c r="H544" s="628"/>
      <c r="I544" s="589"/>
      <c r="J544" s="589"/>
      <c r="K544" s="592"/>
      <c r="L544" s="589"/>
      <c r="M544" s="595"/>
      <c r="N544" s="598"/>
      <c r="O544" s="601"/>
      <c r="P544" s="595"/>
      <c r="Q544" s="604"/>
      <c r="R544" s="601"/>
      <c r="S544" s="287"/>
      <c r="T544" s="607"/>
      <c r="U544" s="142" t="s">
        <v>180</v>
      </c>
      <c r="V544" s="415"/>
      <c r="W544" s="319"/>
      <c r="X544" s="320" t="str">
        <f>IF(W544=[17]Listas!$B$46,[17]Listas!$C$46,IF(W544=[17]Listas!$B$47,[17]Listas!$C$47,IF(W544=[17]Listas!$B$48,[17]Listas!$C$48,"")))</f>
        <v/>
      </c>
      <c r="Y544" s="321" t="str">
        <f>IF(OR(W544=[17]Listas!$F$53,W544=[17]Listas!$F$54),[17]Listas!$G$53,IF(W544=[17]Listas!$F$55,[17]Listas!$G$55,""))</f>
        <v/>
      </c>
      <c r="Z544" s="319"/>
      <c r="AA544" s="182" t="str">
        <f>+IF(Z544=[17]Listas!$E$46,[17]Listas!$F$46,IF(Z544=[17]Listas!$E$47,[17]Listas!$F$47,""))</f>
        <v/>
      </c>
      <c r="AB544" s="183" t="str">
        <f>IFERROR(X544+AA544,"")</f>
        <v/>
      </c>
      <c r="AC544" s="325"/>
      <c r="AD544" s="326"/>
      <c r="AE544" s="327"/>
      <c r="AF544" s="305" t="str">
        <f t="shared" si="78"/>
        <v>Baja</v>
      </c>
      <c r="AG544" s="145">
        <f>IF(Y544=[17]Listas!$G$53,AG543-(AG543*AB544),AG543)</f>
        <v>0.216</v>
      </c>
      <c r="AH544" s="562"/>
      <c r="AI544" s="305" t="str">
        <f t="shared" si="80"/>
        <v>Moderado</v>
      </c>
      <c r="AJ544" s="145">
        <f>IF(Y544=[17]Listas!$G$55,AJ543-(AJ543*AB544),AJ543)</f>
        <v>0.6</v>
      </c>
      <c r="AK544" s="562"/>
      <c r="AL544" s="565"/>
      <c r="AM544" s="565"/>
      <c r="AN544" s="565"/>
      <c r="AO544" s="568"/>
      <c r="AP544" s="571"/>
      <c r="AQ544" s="324"/>
      <c r="AR544" s="184"/>
    </row>
    <row r="545" spans="2:44" ht="15" hidden="1" customHeight="1" thickTop="1" thickBot="1" x14ac:dyDescent="0.4">
      <c r="B545" s="537"/>
      <c r="C545" s="559"/>
      <c r="D545" s="574"/>
      <c r="E545" s="577"/>
      <c r="F545" s="625"/>
      <c r="G545" s="628"/>
      <c r="H545" s="628"/>
      <c r="I545" s="589"/>
      <c r="J545" s="589"/>
      <c r="K545" s="592"/>
      <c r="L545" s="589"/>
      <c r="M545" s="595"/>
      <c r="N545" s="598"/>
      <c r="O545" s="601"/>
      <c r="P545" s="595"/>
      <c r="Q545" s="604"/>
      <c r="R545" s="601"/>
      <c r="S545" s="287"/>
      <c r="T545" s="607"/>
      <c r="U545" s="142" t="s">
        <v>190</v>
      </c>
      <c r="V545" s="415"/>
      <c r="W545" s="319"/>
      <c r="X545" s="320" t="str">
        <f>IF(W545=[17]Listas!$B$46,[17]Listas!$C$46,IF(W545=[17]Listas!$B$47,[17]Listas!$C$47,IF(W545=[17]Listas!$B$48,[17]Listas!$C$48,"")))</f>
        <v/>
      </c>
      <c r="Y545" s="321" t="str">
        <f>IF(OR(W545=[17]Listas!$F$53,W545=[17]Listas!$F$54),[17]Listas!$G$53,IF(W545=[17]Listas!$F$55,[17]Listas!$G$55,""))</f>
        <v/>
      </c>
      <c r="Z545" s="319"/>
      <c r="AA545" s="182" t="str">
        <f>+IF(Z545=[17]Listas!$E$46,[17]Listas!$F$46,IF(Z545=[17]Listas!$E$47,[17]Listas!$F$47,""))</f>
        <v/>
      </c>
      <c r="AB545" s="183" t="str">
        <f t="shared" ref="AB545:AB551" si="82">IFERROR(X545+AA545,"")</f>
        <v/>
      </c>
      <c r="AC545" s="328"/>
      <c r="AD545" s="329"/>
      <c r="AE545" s="330"/>
      <c r="AF545" s="305" t="str">
        <f t="shared" si="78"/>
        <v>Baja</v>
      </c>
      <c r="AG545" s="145">
        <f>IF(Y545=[17]Listas!$G$53,AG544-(AG544*AB545),AG544)</f>
        <v>0.216</v>
      </c>
      <c r="AH545" s="562"/>
      <c r="AI545" s="305" t="str">
        <f t="shared" si="80"/>
        <v>Moderado</v>
      </c>
      <c r="AJ545" s="145">
        <f>IF(Y545=[17]Listas!$G$55,AJ544-(AJ544*AB545),AJ544)</f>
        <v>0.6</v>
      </c>
      <c r="AK545" s="562"/>
      <c r="AL545" s="565"/>
      <c r="AM545" s="565"/>
      <c r="AN545" s="565"/>
      <c r="AO545" s="568"/>
      <c r="AP545" s="571"/>
      <c r="AQ545" s="324"/>
      <c r="AR545" s="185"/>
    </row>
    <row r="546" spans="2:44" ht="15" hidden="1" customHeight="1" thickTop="1" thickBot="1" x14ac:dyDescent="0.4">
      <c r="B546" s="537"/>
      <c r="C546" s="559"/>
      <c r="D546" s="574"/>
      <c r="E546" s="577"/>
      <c r="F546" s="625"/>
      <c r="G546" s="628"/>
      <c r="H546" s="628"/>
      <c r="I546" s="589"/>
      <c r="J546" s="589"/>
      <c r="K546" s="592"/>
      <c r="L546" s="589"/>
      <c r="M546" s="595"/>
      <c r="N546" s="598"/>
      <c r="O546" s="601"/>
      <c r="P546" s="595"/>
      <c r="Q546" s="604"/>
      <c r="R546" s="601"/>
      <c r="S546" s="287"/>
      <c r="T546" s="607"/>
      <c r="U546" s="142" t="s">
        <v>198</v>
      </c>
      <c r="V546" s="415"/>
      <c r="W546" s="331"/>
      <c r="X546" s="320" t="str">
        <f>IF(W546=[17]Listas!$B$46,[17]Listas!$C$46,IF(W546=[17]Listas!$B$47,[17]Listas!$C$47,IF(W546=[17]Listas!$B$48,[17]Listas!$C$48,"")))</f>
        <v/>
      </c>
      <c r="Y546" s="321" t="str">
        <f>IF(OR(W546=[17]Listas!$F$53,W546=[17]Listas!$F$54),[17]Listas!$G$53,IF(W546=[17]Listas!$F$55,[17]Listas!$G$55,""))</f>
        <v/>
      </c>
      <c r="Z546" s="331"/>
      <c r="AA546" s="182" t="str">
        <f>+IF(Z546=[17]Listas!$E$46,[17]Listas!$F$46,IF(Z546=[17]Listas!$E$47,[17]Listas!$F$47,""))</f>
        <v/>
      </c>
      <c r="AB546" s="183" t="str">
        <f t="shared" si="82"/>
        <v/>
      </c>
      <c r="AC546" s="319"/>
      <c r="AD546" s="322"/>
      <c r="AE546" s="323"/>
      <c r="AF546" s="305" t="str">
        <f t="shared" si="78"/>
        <v>Baja</v>
      </c>
      <c r="AG546" s="145">
        <f>IF(Y546=[17]Listas!$G$53,AG545-(AG545*AB546),AG545)</f>
        <v>0.216</v>
      </c>
      <c r="AH546" s="562"/>
      <c r="AI546" s="305" t="str">
        <f t="shared" si="80"/>
        <v>Moderado</v>
      </c>
      <c r="AJ546" s="145">
        <f>IF(Y546=[17]Listas!$G$55,AJ545-(AJ545*AB546),AJ545)</f>
        <v>0.6</v>
      </c>
      <c r="AK546" s="562"/>
      <c r="AL546" s="565"/>
      <c r="AM546" s="565"/>
      <c r="AN546" s="565"/>
      <c r="AO546" s="568"/>
      <c r="AP546" s="571"/>
      <c r="AQ546" s="324"/>
      <c r="AR546" s="185"/>
    </row>
    <row r="547" spans="2:44" ht="15.75" hidden="1" customHeight="1" thickTop="1" thickBot="1" x14ac:dyDescent="0.4">
      <c r="B547" s="537"/>
      <c r="C547" s="559"/>
      <c r="D547" s="574"/>
      <c r="E547" s="577"/>
      <c r="F547" s="625"/>
      <c r="G547" s="628"/>
      <c r="H547" s="628"/>
      <c r="I547" s="589"/>
      <c r="J547" s="589"/>
      <c r="K547" s="592"/>
      <c r="L547" s="589"/>
      <c r="M547" s="595"/>
      <c r="N547" s="598"/>
      <c r="O547" s="601"/>
      <c r="P547" s="595"/>
      <c r="Q547" s="604"/>
      <c r="R547" s="601"/>
      <c r="S547" s="288"/>
      <c r="T547" s="607"/>
      <c r="U547" s="142" t="s">
        <v>208</v>
      </c>
      <c r="V547" s="415"/>
      <c r="W547" s="331"/>
      <c r="X547" s="320" t="str">
        <f>IF(W547=[17]Listas!$B$46,[17]Listas!$C$46,IF(W547=[17]Listas!$B$47,[17]Listas!$C$47,IF(W547=[17]Listas!$B$48,[17]Listas!$C$48,"")))</f>
        <v/>
      </c>
      <c r="Y547" s="321" t="str">
        <f>IF(OR(W547=[17]Listas!$F$53,W547=[17]Listas!$F$54),[17]Listas!$G$53,IF(W547=[17]Listas!$F$55,[17]Listas!$G$55,""))</f>
        <v/>
      </c>
      <c r="Z547" s="331"/>
      <c r="AA547" s="182" t="str">
        <f>+IF(Z547=[17]Listas!$E$46,[17]Listas!$F$46,IF(Z547=[17]Listas!$E$47,[17]Listas!$F$47,""))</f>
        <v/>
      </c>
      <c r="AB547" s="183" t="str">
        <f t="shared" si="82"/>
        <v/>
      </c>
      <c r="AC547" s="319"/>
      <c r="AD547" s="322"/>
      <c r="AE547" s="323"/>
      <c r="AF547" s="305" t="str">
        <f t="shared" si="78"/>
        <v>Baja</v>
      </c>
      <c r="AG547" s="145">
        <f>IF(Y547=[17]Listas!$G$53,AG546-(AG546*AB547),AG546)</f>
        <v>0.216</v>
      </c>
      <c r="AH547" s="562"/>
      <c r="AI547" s="305" t="str">
        <f t="shared" si="80"/>
        <v>Moderado</v>
      </c>
      <c r="AJ547" s="145">
        <f>IF(Y547=[17]Listas!$G$55,AJ546-(AJ546*AB547),AJ546)</f>
        <v>0.6</v>
      </c>
      <c r="AK547" s="562"/>
      <c r="AL547" s="565"/>
      <c r="AM547" s="565"/>
      <c r="AN547" s="565"/>
      <c r="AO547" s="568"/>
      <c r="AP547" s="571"/>
      <c r="AQ547" s="332"/>
      <c r="AR547" s="185"/>
    </row>
    <row r="548" spans="2:44" ht="15" hidden="1" customHeight="1" thickTop="1" thickBot="1" x14ac:dyDescent="0.4">
      <c r="B548" s="537"/>
      <c r="C548" s="559"/>
      <c r="D548" s="574"/>
      <c r="E548" s="577"/>
      <c r="F548" s="625"/>
      <c r="G548" s="628"/>
      <c r="H548" s="628"/>
      <c r="I548" s="589"/>
      <c r="J548" s="589"/>
      <c r="K548" s="592"/>
      <c r="L548" s="589"/>
      <c r="M548" s="595"/>
      <c r="N548" s="598"/>
      <c r="O548" s="601"/>
      <c r="P548" s="595"/>
      <c r="Q548" s="604"/>
      <c r="R548" s="601"/>
      <c r="S548" s="289"/>
      <c r="T548" s="607"/>
      <c r="U548" s="142" t="s">
        <v>215</v>
      </c>
      <c r="V548" s="415"/>
      <c r="W548" s="331"/>
      <c r="X548" s="320" t="str">
        <f>IF(W548=[17]Listas!$B$46,[17]Listas!$C$46,IF(W548=[17]Listas!$B$47,[17]Listas!$C$47,IF(W548=[17]Listas!$B$48,[17]Listas!$C$48,"")))</f>
        <v/>
      </c>
      <c r="Y548" s="321" t="str">
        <f>IF(OR(W548=[17]Listas!$F$53,W548=[17]Listas!$F$54),[17]Listas!$G$53,IF(W548=[17]Listas!$F$55,[17]Listas!$G$55,""))</f>
        <v/>
      </c>
      <c r="Z548" s="331"/>
      <c r="AA548" s="182" t="str">
        <f>+IF(Z548=[17]Listas!$E$46,[17]Listas!$F$46,IF(Z548=[17]Listas!$E$47,[17]Listas!$F$47,""))</f>
        <v/>
      </c>
      <c r="AB548" s="183" t="str">
        <f t="shared" si="82"/>
        <v/>
      </c>
      <c r="AC548" s="319"/>
      <c r="AD548" s="322"/>
      <c r="AE548" s="323"/>
      <c r="AF548" s="305" t="str">
        <f t="shared" si="78"/>
        <v>Baja</v>
      </c>
      <c r="AG548" s="145">
        <f>IF(Y548=[17]Listas!$G$53,AG547-(AG547*AB548),AG547)</f>
        <v>0.216</v>
      </c>
      <c r="AH548" s="562"/>
      <c r="AI548" s="305" t="str">
        <f t="shared" si="80"/>
        <v>Moderado</v>
      </c>
      <c r="AJ548" s="145">
        <f>IF(Y548=[17]Listas!$G$55,AJ547-(AJ547*AB548),AJ547)</f>
        <v>0.6</v>
      </c>
      <c r="AK548" s="562"/>
      <c r="AL548" s="565"/>
      <c r="AM548" s="565"/>
      <c r="AN548" s="565"/>
      <c r="AO548" s="568"/>
      <c r="AP548" s="571"/>
      <c r="AQ548" s="333"/>
      <c r="AR548" s="185"/>
    </row>
    <row r="549" spans="2:44" ht="15" hidden="1" customHeight="1" thickTop="1" thickBot="1" x14ac:dyDescent="0.4">
      <c r="B549" s="537"/>
      <c r="C549" s="559"/>
      <c r="D549" s="574"/>
      <c r="E549" s="577"/>
      <c r="F549" s="625"/>
      <c r="G549" s="628"/>
      <c r="H549" s="628"/>
      <c r="I549" s="589"/>
      <c r="J549" s="589"/>
      <c r="K549" s="592"/>
      <c r="L549" s="589"/>
      <c r="M549" s="595"/>
      <c r="N549" s="598"/>
      <c r="O549" s="601"/>
      <c r="P549" s="595"/>
      <c r="Q549" s="604"/>
      <c r="R549" s="601"/>
      <c r="S549" s="289"/>
      <c r="T549" s="607"/>
      <c r="U549" s="142" t="s">
        <v>220</v>
      </c>
      <c r="V549" s="415"/>
      <c r="W549" s="331"/>
      <c r="X549" s="320" t="str">
        <f>IF(W549=[17]Listas!$B$46,[17]Listas!$C$46,IF(W549=[17]Listas!$B$47,[17]Listas!$C$47,IF(W549=[17]Listas!$B$48,[17]Listas!$C$48,"")))</f>
        <v/>
      </c>
      <c r="Y549" s="321" t="str">
        <f>IF(OR(W549=[17]Listas!$F$53,W549=[17]Listas!$F$54),[17]Listas!$G$53,IF(W549=[17]Listas!$F$55,[17]Listas!$G$55,""))</f>
        <v/>
      </c>
      <c r="Z549" s="331"/>
      <c r="AA549" s="182" t="str">
        <f>+IF(Z549=[17]Listas!$E$46,[17]Listas!$F$46,IF(Z549=[17]Listas!$E$47,[17]Listas!$F$47,""))</f>
        <v/>
      </c>
      <c r="AB549" s="183" t="str">
        <f t="shared" si="82"/>
        <v/>
      </c>
      <c r="AC549" s="319"/>
      <c r="AD549" s="322"/>
      <c r="AE549" s="323"/>
      <c r="AF549" s="305" t="str">
        <f t="shared" si="78"/>
        <v>Baja</v>
      </c>
      <c r="AG549" s="145">
        <f>IF(Y549=[17]Listas!$G$53,AG548-(AG548*AB549),AG548)</f>
        <v>0.216</v>
      </c>
      <c r="AH549" s="562"/>
      <c r="AI549" s="305" t="str">
        <f t="shared" si="80"/>
        <v>Moderado</v>
      </c>
      <c r="AJ549" s="145">
        <f>IF(Y549=[17]Listas!$G$55,AJ548-(AJ548*AB549),AJ548)</f>
        <v>0.6</v>
      </c>
      <c r="AK549" s="562"/>
      <c r="AL549" s="565"/>
      <c r="AM549" s="565"/>
      <c r="AN549" s="565"/>
      <c r="AO549" s="568"/>
      <c r="AP549" s="571"/>
      <c r="AQ549" s="334"/>
      <c r="AR549" s="185"/>
    </row>
    <row r="550" spans="2:44" ht="15" hidden="1" customHeight="1" thickTop="1" thickBot="1" x14ac:dyDescent="0.4">
      <c r="B550" s="537"/>
      <c r="C550" s="559"/>
      <c r="D550" s="574"/>
      <c r="E550" s="577"/>
      <c r="F550" s="625"/>
      <c r="G550" s="628"/>
      <c r="H550" s="628"/>
      <c r="I550" s="589"/>
      <c r="J550" s="589"/>
      <c r="K550" s="592"/>
      <c r="L550" s="589"/>
      <c r="M550" s="595"/>
      <c r="N550" s="598"/>
      <c r="O550" s="601"/>
      <c r="P550" s="595"/>
      <c r="Q550" s="604"/>
      <c r="R550" s="601"/>
      <c r="S550" s="289"/>
      <c r="T550" s="607"/>
      <c r="U550" s="142" t="s">
        <v>223</v>
      </c>
      <c r="V550" s="415"/>
      <c r="W550" s="331"/>
      <c r="X550" s="320" t="str">
        <f>IF(W550=[17]Listas!$B$46,[17]Listas!$C$46,IF(W550=[17]Listas!$B$47,[17]Listas!$C$47,IF(W550=[17]Listas!$B$48,[17]Listas!$C$48,"")))</f>
        <v/>
      </c>
      <c r="Y550" s="321" t="str">
        <f>IF(OR(W550=[17]Listas!$F$53,W550=[17]Listas!$F$54),[17]Listas!$G$53,IF(W550=[17]Listas!$F$55,[17]Listas!$G$55,""))</f>
        <v/>
      </c>
      <c r="Z550" s="331"/>
      <c r="AA550" s="182" t="str">
        <f>+IF(Z550=[17]Listas!$E$46,[17]Listas!$F$46,IF(Z550=[17]Listas!$E$47,[17]Listas!$F$47,""))</f>
        <v/>
      </c>
      <c r="AB550" s="183" t="str">
        <f t="shared" si="82"/>
        <v/>
      </c>
      <c r="AC550" s="319"/>
      <c r="AD550" s="322"/>
      <c r="AE550" s="323"/>
      <c r="AF550" s="305" t="str">
        <f t="shared" si="78"/>
        <v>Baja</v>
      </c>
      <c r="AG550" s="145">
        <f>IF(Y550=[17]Listas!$G$53,AG549-(AG549*AB550),AG549)</f>
        <v>0.216</v>
      </c>
      <c r="AH550" s="562"/>
      <c r="AI550" s="305" t="str">
        <f t="shared" si="80"/>
        <v>Moderado</v>
      </c>
      <c r="AJ550" s="145">
        <f>IF(Y550=[17]Listas!$G$55,AJ549-(AJ549*AB550),AJ549)</f>
        <v>0.6</v>
      </c>
      <c r="AK550" s="562"/>
      <c r="AL550" s="565"/>
      <c r="AM550" s="565"/>
      <c r="AN550" s="565"/>
      <c r="AO550" s="568"/>
      <c r="AP550" s="571"/>
      <c r="AQ550" s="324"/>
      <c r="AR550" s="185"/>
    </row>
    <row r="551" spans="2:44" ht="15.75" hidden="1" customHeight="1" thickTop="1" thickBot="1" x14ac:dyDescent="0.4">
      <c r="B551" s="537"/>
      <c r="C551" s="559"/>
      <c r="D551" s="575"/>
      <c r="E551" s="578"/>
      <c r="F551" s="626"/>
      <c r="G551" s="629"/>
      <c r="H551" s="629"/>
      <c r="I551" s="590"/>
      <c r="J551" s="590"/>
      <c r="K551" s="593"/>
      <c r="L551" s="590"/>
      <c r="M551" s="596"/>
      <c r="N551" s="599"/>
      <c r="O551" s="602"/>
      <c r="P551" s="596"/>
      <c r="Q551" s="605"/>
      <c r="R551" s="602"/>
      <c r="S551" s="293"/>
      <c r="T551" s="608"/>
      <c r="U551" s="202" t="s">
        <v>224</v>
      </c>
      <c r="V551" s="416"/>
      <c r="W551" s="335"/>
      <c r="X551" s="336" t="str">
        <f>IF(W551=[17]Listas!$B$46,[17]Listas!$C$46,IF(W551=[17]Listas!$B$47,[17]Listas!$C$47,IF(W551=[17]Listas!$B$48,[17]Listas!$C$48,"")))</f>
        <v/>
      </c>
      <c r="Y551" s="337" t="str">
        <f>IF(OR(W551=[17]Listas!$F$53,W551=[17]Listas!$F$54),[17]Listas!$G$53,IF(W551=[17]Listas!$F$55,[17]Listas!$G$55,""))</f>
        <v/>
      </c>
      <c r="Z551" s="335"/>
      <c r="AA551" s="186" t="str">
        <f>+IF(Z551=[17]Listas!$E$46,[17]Listas!$F$46,IF(Z551=[17]Listas!$E$47,[17]Listas!$F$47,""))</f>
        <v/>
      </c>
      <c r="AB551" s="187" t="str">
        <f t="shared" si="82"/>
        <v/>
      </c>
      <c r="AC551" s="338"/>
      <c r="AD551" s="339"/>
      <c r="AE551" s="340"/>
      <c r="AF551" s="311" t="str">
        <f t="shared" si="78"/>
        <v>Baja</v>
      </c>
      <c r="AG551" s="179">
        <f>IF(Y551=[17]Listas!$G$53,AG550-(AG550*AB551),AG550)</f>
        <v>0.216</v>
      </c>
      <c r="AH551" s="563"/>
      <c r="AI551" s="311" t="str">
        <f t="shared" si="80"/>
        <v>Moderado</v>
      </c>
      <c r="AJ551" s="179">
        <f>IF(Y551=[17]Listas!$G$55,AJ550-(AJ550*AB551),AJ550)</f>
        <v>0.6</v>
      </c>
      <c r="AK551" s="563"/>
      <c r="AL551" s="566"/>
      <c r="AM551" s="566"/>
      <c r="AN551" s="566"/>
      <c r="AO551" s="569"/>
      <c r="AP551" s="572"/>
      <c r="AQ551" s="341"/>
      <c r="AR551" s="188"/>
    </row>
    <row r="552" spans="2:44" ht="278.25" customHeight="1" thickTop="1" thickBot="1" x14ac:dyDescent="0.4">
      <c r="B552" s="537"/>
      <c r="C552" s="559"/>
      <c r="D552" s="573" t="s">
        <v>708</v>
      </c>
      <c r="E552" s="576" t="s">
        <v>5</v>
      </c>
      <c r="F552" s="624" t="s">
        <v>709</v>
      </c>
      <c r="G552" s="627" t="s">
        <v>710</v>
      </c>
      <c r="H552" s="627" t="s">
        <v>711</v>
      </c>
      <c r="I552" s="588" t="s">
        <v>20</v>
      </c>
      <c r="J552" s="588" t="s">
        <v>712</v>
      </c>
      <c r="K552" s="591" t="s">
        <v>713</v>
      </c>
      <c r="L552" s="588" t="s">
        <v>186</v>
      </c>
      <c r="M552" s="594" t="s">
        <v>169</v>
      </c>
      <c r="N552" s="597" t="str">
        <f>+IF(M552="","",IF(M552=$BO$15,$BN$15,IF(M552=$BO$16,$BN$16,IF(M552=$BO$17,$BN$17,IF(M552=$BO$18,$BN$18,IF(M552=$BO$19,$BN$19))))))</f>
        <v>Alta</v>
      </c>
      <c r="O552" s="600">
        <f>+IF(M552="","",IF(M552=$BO$15,$BR$15,IF(M552=$BO$16,$BR$16,IF(M552=$BO$17,$BR$17,IF(M552=$BO$18,$BR$18,IF(M552=$BO$19,$BR$19))))))</f>
        <v>0.8</v>
      </c>
      <c r="P552" s="594" t="s">
        <v>212</v>
      </c>
      <c r="Q552" s="603" t="str">
        <f>+IF(P552="","",IF(P552='[17]Mapa de Calor inherente'!$AF$6,'[17]Mapa de Calor inherente'!$AD$6,IF(P552='[17]Mapa de Calor inherente'!$AF$7,'[17]Mapa de Calor inherente'!$AD$7,IF(P552='[17]Mapa de Calor inherente'!$AF$8,'[17]Mapa de Calor inherente'!$AD$8,IF(P552='[17]Mapa de Calor inherente'!$AF$9,'[17]Mapa de Calor inherente'!$AD$9,IF(P552='[17]Mapa de Calor inherente'!$AF$10,'[17]Mapa de Calor inherente'!$AD$10,IF(P552='[17]Mapa de Calor inherente'!$AG$6,'[17]Mapa de Calor inherente'!$AD$6,IF(P552='[17]Mapa de Calor inherente'!$AG$7,'[17]Mapa de Calor inherente'!$AD$7,IF(P552='[17]Mapa de Calor inherente'!$AG$8,'[17]Mapa de Calor inherente'!$AD$8,IF(P552='[17]Mapa de Calor inherente'!$AG$9,'[17]Mapa de Calor inherente'!$AD$9,IF(P552='[17]Mapa de Calor inherente'!$AG$10,'[17]Mapa de Calor inherente'!$AD$10,IF(P552='[17]Mapa de Calor inherente'!$AD$8,'[17]Mapa de Calor inherente'!$AD$8,IF(P552='[17]Mapa de Calor inherente'!$AD$9,'[17]Mapa de Calor inherente'!$AD$9,IF(P552='[17]Mapa de Calor inherente'!$AD$10,'[17]Mapa de Calor inherente'!$AD$10))))))))))))))</f>
        <v>Moderado</v>
      </c>
      <c r="R552" s="600">
        <f>+IF(P552="","",IF(P552='[17]Mapa de Calor inherente'!$AF$6,'[17]Mapa de Calor inherente'!$AE$6,IF(P552='[17]Mapa de Calor inherente'!$AF$7,'[17]Mapa de Calor inherente'!$AE$7,IF(P552='[17]Mapa de Calor inherente'!$AF$8,'[17]Mapa de Calor inherente'!$AE$8,IF(P552='[17]Mapa de Calor inherente'!$AF$9,'[17]Mapa de Calor inherente'!$AE$9,IF(P552='[17]Mapa de Calor inherente'!$AF$10,'[17]Mapa de Calor inherente'!$AE$10,IF(P552='[17]Mapa de Calor inherente'!$AG$6,'[17]Mapa de Calor inherente'!$AE$6,IF(P552='[17]Mapa de Calor inherente'!$AG$7,'[17]Mapa de Calor inherente'!$AE$7,IF(P552='[17]Mapa de Calor inherente'!$AG$8,'[17]Mapa de Calor inherente'!$AE$8,IF(P552='[17]Mapa de Calor inherente'!$AG$9,'[17]Mapa de Calor inherente'!$AE$9,IF(P552='[17]Mapa de Calor inherente'!$AG$10,'[17]Mapa de Calor inherente'!$AE$10,IF(P552='[17]Mapa de Calor inherente'!$AD$8,'[17]Mapa de Calor inherente'!$AE$8,IF(P552='[17]Mapa de Calor inherente'!$AD$9,'[17]Mapa de Calor inherente'!$AE$9,IF(P552='[17]Mapa de Calor inherente'!$AD$10,'[17]Mapa de Calor inherente'!$AE$10))))))))))))))</f>
        <v>0.6</v>
      </c>
      <c r="S552" s="292"/>
      <c r="T552" s="603" t="str">
        <f>+IF(N552=$BB$17,IF(Q552=$BC$16,$BC$17,IF(Q552=$BD$16,$BD$17,IF(Q552=$BE$16,$BE$17,IF(Q552=$BF$16,$BF$17,IF(Q552=$BG$16,$BG$17))))),IF(N552=$BB$18,IF(Q552=$BC$16,$BC$18,IF(Q552=$BD$16,$BD$18,IF(Q552=$BE$16,$BE$18,IF(Q552=$BF$16,$BF$18,IF(Q552=$BG$16,$BG$18))))),IF(N552=$BB$19,IF(Q552=$BC$16,$BC$19,IF(Q552=$BD$16,$BD$19,IF(Q552=$BE$16,$BE$19,IF(Q552=$BF$16,$BF$19,IF(Q552=$BG$16,$BG$19))))),IF(N552=$BB$20,IF(Q552=$BC$16,$BC$20,IF(Q552=$BD$16,$BD$20,IF(Q552=$BE$16,$BE$20,IF(Q552=$BF$16,$BF$20,IF(Q552=$BG$16,$BG$20))))),IF(N552=$BB$21,IF(Q552=$BC$16,$BC$21,IF(Q552=$BD$16,$BD$21,IF(Q552=$BE$16,$BE$21,IF(Q552=$BF$16,$BF$21,IF(Q552=$BG$16,$BG$21))))),"")))))</f>
        <v>Alto</v>
      </c>
      <c r="U552" s="139" t="s">
        <v>171</v>
      </c>
      <c r="V552" s="486" t="s">
        <v>714</v>
      </c>
      <c r="W552" s="313" t="s">
        <v>40</v>
      </c>
      <c r="X552" s="314">
        <f>IF(W552=[17]Listas!$B$46,[17]Listas!$C$46,IF(W552=[17]Listas!$B$47,[17]Listas!$C$47,IF(W552=[17]Listas!$B$48,[17]Listas!$C$48,"")))</f>
        <v>0.25</v>
      </c>
      <c r="Y552" s="315" t="str">
        <f>IF(OR(W552=[17]Listas!$F$53,W552=[17]Listas!$F$54),[17]Listas!$G$53,IF(W552=[17]Listas!$F$55,[17]Listas!$G$55,""))</f>
        <v>Probabilidad</v>
      </c>
      <c r="Z552" s="313" t="s">
        <v>43</v>
      </c>
      <c r="AA552" s="314">
        <f>+IF(Z552=[17]Listas!$E$46,[17]Listas!$F$46,IF(Z552=[17]Listas!$E$47,[17]Listas!$F$47,""))</f>
        <v>0.15</v>
      </c>
      <c r="AB552" s="181">
        <f>IFERROR(X552+AA552,"")</f>
        <v>0.4</v>
      </c>
      <c r="AC552" s="313" t="s">
        <v>57</v>
      </c>
      <c r="AD552" s="316" t="s">
        <v>65</v>
      </c>
      <c r="AE552" s="317" t="s">
        <v>59</v>
      </c>
      <c r="AF552" s="299" t="str">
        <f t="shared" si="78"/>
        <v>Media</v>
      </c>
      <c r="AG552" s="141">
        <f>IF(Y552=[17]Listas!$G$53,O552-(O552*AB552),O552)</f>
        <v>0.48</v>
      </c>
      <c r="AH552" s="561">
        <f>+IF(AG561="","",AG561)</f>
        <v>0.48</v>
      </c>
      <c r="AI552" s="299" t="str">
        <f>IF(AJ552="","",IF(AJ552&lt;=20%,"Leve",IF(AJ552&lt;=40%,"Menor",IF(AJ552&lt;=60%,"Moderado",IF(AJ552&lt;=80%,"Mayor","Catastrófico")))))</f>
        <v>Moderado</v>
      </c>
      <c r="AJ552" s="141">
        <f>IF(Y552=[17]Listas!$G$55,R552-(R552*AB552),R552)</f>
        <v>0.6</v>
      </c>
      <c r="AK552" s="561">
        <f>+IF(AJ561="","",AJ561)</f>
        <v>0.6</v>
      </c>
      <c r="AL552" s="564" t="str">
        <f>+IF(AH552=0,"",IF(AH552&lt;=$BA$21,$BB$21,IF(AH552&lt;=$BA$20,$BB$20,IF(AH552&lt;=$BA$19,$BB$19,IF(AH552&lt;=$BA$18,$BB$18,IF(AH552&lt;=$BA$17,$BB$17,""))))))</f>
        <v>Media</v>
      </c>
      <c r="AM552" s="564" t="str">
        <f>+IF(AK552=0,"",IF(AK552&lt;=$BC$15,$BC$16,IF(AK552&lt;=$BD$15,$BD$16,IF(AK552&lt;=$BE$15,$BE$16,IF(AK552&lt;=$BF$15,$BF$16,IF(AK552&lt;=$BG$15,$BG$16,""))))))</f>
        <v>Moderado</v>
      </c>
      <c r="AN552" s="564" t="str">
        <f>IF(AL552=$BB$17,IF(AM552=$BC$16,$BC$17,IF(AM552=$BD$16,$BD$17,IF(AM552=$BE$16,$BE$17,IF(AM552=$BF$16,$BF$17,IF(AM552=$BG$16,$BG$17))))),IF(AL552=$BB$18,IF(AM552=$BC$16,$BC$18,IF(AM552=$BD$16,$BD$18,IF(AM552=$BE$16,$BE$18,IF(AM552=$BF$16,$BF$18,IF(AM552=$BG$16,$BG$18))))),IF(AL552=$BB$19,IF(AM552=$BC$16,$BC$19,IF(AM552=$BD$16,$BD$19,IF(AM552=$BE$16,$BE$19,IF(AM552=$BF$16,$BF$19,IF(AM552=$BG$16,$BG$19))))),IF(AL552=$BB$20,IF(AM552=$BC$16,$BC$20,IF(AM552=$BD$16,$BD$20,IF(AM552=$BE$16,$BE$20,IF(AM552=$BF$16,$BF$20,IF(AM552=$BG$16,$BG$20))))),IF(AL552=$BB$21,IF(AM552=$BC$16,$BC$21,IF(AM552=$BD$16,$BD$21,IF(AM552=$BE$16,$BE$21,IF(AM552=$BF$16,$BF$21,IF(AM552=$BG$16,$BG$21))))),"")))))</f>
        <v>Moderado</v>
      </c>
      <c r="AO552" s="567" t="str">
        <f>IF(AP552="","",IF(AP552=[17]Listas!$F$61,[17]Listas!$G$61,IF(AP552=[17]Listas!$F$63,[17]Listas!$G$63,IF(AP552=[17]Listas!$F$64,[17]Listas!$G$64))))</f>
        <v>Requiere Plan de Acción</v>
      </c>
      <c r="AP552" s="570" t="str">
        <f>IF(AN552="","",IF(OR(AN552=[17]Listas!$E$61,AN552=[17]Listas!$E$62),[17]Listas!$F$61,IF(AN552=[17]Listas!$E$63,[17]Listas!$F$63,IF(AN552=[17]Listas!$E$64,[17]Listas!$F$64))))</f>
        <v>Aceptar o reducir el riesgo</v>
      </c>
      <c r="AQ552" s="342" t="s">
        <v>80</v>
      </c>
      <c r="AR552" s="407" t="s">
        <v>715</v>
      </c>
    </row>
    <row r="553" spans="2:44" ht="15.65" hidden="1" customHeight="1" thickTop="1" thickBot="1" x14ac:dyDescent="0.4">
      <c r="B553" s="537"/>
      <c r="C553" s="559"/>
      <c r="D553" s="574"/>
      <c r="E553" s="577"/>
      <c r="F553" s="625"/>
      <c r="G553" s="628"/>
      <c r="H553" s="628"/>
      <c r="I553" s="589"/>
      <c r="J553" s="589"/>
      <c r="K553" s="592"/>
      <c r="L553" s="589"/>
      <c r="M553" s="595"/>
      <c r="N553" s="598"/>
      <c r="O553" s="601"/>
      <c r="P553" s="595"/>
      <c r="Q553" s="604"/>
      <c r="R553" s="601"/>
      <c r="S553" s="286"/>
      <c r="T553" s="604"/>
      <c r="U553" s="142" t="s">
        <v>174</v>
      </c>
      <c r="V553" s="415"/>
      <c r="W553" s="319"/>
      <c r="X553" s="320" t="str">
        <f>IF(W553=[17]Listas!$B$46,[17]Listas!$C$46,IF(W553=[17]Listas!$B$47,[17]Listas!$C$47,IF(W553=[17]Listas!$B$48,[17]Listas!$C$48,"")))</f>
        <v/>
      </c>
      <c r="Y553" s="321" t="str">
        <f>IF(OR(W553=[17]Listas!$F$53,W553=[17]Listas!$F$54),[17]Listas!$G$53,IF(W553=[17]Listas!$F$55,[17]Listas!$G$55,""))</f>
        <v/>
      </c>
      <c r="Z553" s="319"/>
      <c r="AA553" s="182" t="str">
        <f>+IF(Z553=[17]Listas!$E$46,[17]Listas!$F$46,IF(Z553=[17]Listas!$E$47,[17]Listas!$F$47,""))</f>
        <v/>
      </c>
      <c r="AB553" s="183" t="str">
        <f>IFERROR(X553+AA553,"")</f>
        <v/>
      </c>
      <c r="AC553" s="319"/>
      <c r="AD553" s="322"/>
      <c r="AE553" s="323"/>
      <c r="AF553" s="305" t="str">
        <f t="shared" si="78"/>
        <v>Media</v>
      </c>
      <c r="AG553" s="145">
        <f>IF(Y553=[17]Listas!$G$53,AG552-(AG552*AB553),AG552)</f>
        <v>0.48</v>
      </c>
      <c r="AH553" s="562"/>
      <c r="AI553" s="305" t="str">
        <f t="shared" ref="AI553:AI561" si="83">IF(AJ553="","",IF(AJ553&lt;=20%,"Leve",IF(AJ553&lt;=40%,"Menor",IF(AJ553&lt;=60%,"Moderado",IF(AJ553&lt;=80%,"Mayor","Catastrófico")))))</f>
        <v>Moderado</v>
      </c>
      <c r="AJ553" s="145">
        <f>IF(Y553=[17]Listas!$G$55,AJ552-(AJ552*AB553),AJ552)</f>
        <v>0.6</v>
      </c>
      <c r="AK553" s="562"/>
      <c r="AL553" s="565"/>
      <c r="AM553" s="565"/>
      <c r="AN553" s="565"/>
      <c r="AO553" s="568"/>
      <c r="AP553" s="571"/>
      <c r="AQ553" s="344"/>
      <c r="AR553" s="191"/>
    </row>
    <row r="554" spans="2:44" ht="15.65" hidden="1" customHeight="1" thickTop="1" thickBot="1" x14ac:dyDescent="0.4">
      <c r="B554" s="537"/>
      <c r="C554" s="559"/>
      <c r="D554" s="574"/>
      <c r="E554" s="577"/>
      <c r="F554" s="625"/>
      <c r="G554" s="628"/>
      <c r="H554" s="628"/>
      <c r="I554" s="589"/>
      <c r="J554" s="589"/>
      <c r="K554" s="592"/>
      <c r="L554" s="589"/>
      <c r="M554" s="595"/>
      <c r="N554" s="598"/>
      <c r="O554" s="601"/>
      <c r="P554" s="595"/>
      <c r="Q554" s="604"/>
      <c r="R554" s="601"/>
      <c r="S554" s="287"/>
      <c r="T554" s="604"/>
      <c r="U554" s="142" t="s">
        <v>180</v>
      </c>
      <c r="V554" s="415"/>
      <c r="W554" s="319"/>
      <c r="X554" s="320" t="str">
        <f>IF(W554=[17]Listas!$B$46,[17]Listas!$C$46,IF(W554=[17]Listas!$B$47,[17]Listas!$C$47,IF(W554=[17]Listas!$B$48,[17]Listas!$C$48,"")))</f>
        <v/>
      </c>
      <c r="Y554" s="321" t="str">
        <f>IF(OR(W554=[17]Listas!$F$53,W554=[17]Listas!$F$54),[17]Listas!$G$53,IF(W554=[17]Listas!$F$55,[17]Listas!$G$55,""))</f>
        <v/>
      </c>
      <c r="Z554" s="319"/>
      <c r="AA554" s="182" t="str">
        <f>+IF(Z554=[17]Listas!$E$46,[17]Listas!$F$46,IF(Z554=[17]Listas!$E$47,[17]Listas!$F$47,""))</f>
        <v/>
      </c>
      <c r="AB554" s="183" t="str">
        <f>IFERROR(X554+AA554,"")</f>
        <v/>
      </c>
      <c r="AC554" s="319"/>
      <c r="AD554" s="322"/>
      <c r="AE554" s="323"/>
      <c r="AF554" s="305" t="str">
        <f t="shared" si="78"/>
        <v>Media</v>
      </c>
      <c r="AG554" s="145">
        <f>IF(Y554=[17]Listas!$G$53,AG553-(AG553*AB554),AG553)</f>
        <v>0.48</v>
      </c>
      <c r="AH554" s="562"/>
      <c r="AI554" s="305" t="str">
        <f t="shared" si="83"/>
        <v>Moderado</v>
      </c>
      <c r="AJ554" s="145">
        <f>IF(Y554=[17]Listas!$G$55,AJ553-(AJ553*AB554),AJ553)</f>
        <v>0.6</v>
      </c>
      <c r="AK554" s="562"/>
      <c r="AL554" s="565"/>
      <c r="AM554" s="565"/>
      <c r="AN554" s="565"/>
      <c r="AO554" s="568"/>
      <c r="AP554" s="571"/>
      <c r="AQ554" s="344"/>
      <c r="AR554" s="191"/>
    </row>
    <row r="555" spans="2:44" ht="15.65" hidden="1" customHeight="1" thickTop="1" thickBot="1" x14ac:dyDescent="0.4">
      <c r="B555" s="537"/>
      <c r="C555" s="559"/>
      <c r="D555" s="574"/>
      <c r="E555" s="577"/>
      <c r="F555" s="625"/>
      <c r="G555" s="628"/>
      <c r="H555" s="628"/>
      <c r="I555" s="589"/>
      <c r="J555" s="589"/>
      <c r="K555" s="592"/>
      <c r="L555" s="589"/>
      <c r="M555" s="595"/>
      <c r="N555" s="598"/>
      <c r="O555" s="601"/>
      <c r="P555" s="595"/>
      <c r="Q555" s="604"/>
      <c r="R555" s="601"/>
      <c r="S555" s="287"/>
      <c r="T555" s="604"/>
      <c r="U555" s="142" t="s">
        <v>190</v>
      </c>
      <c r="V555" s="415"/>
      <c r="W555" s="319"/>
      <c r="X555" s="320" t="str">
        <f>IF(W555=[17]Listas!$B$46,[17]Listas!$C$46,IF(W555=[17]Listas!$B$47,[17]Listas!$C$47,IF(W555=[17]Listas!$B$48,[17]Listas!$C$48,"")))</f>
        <v/>
      </c>
      <c r="Y555" s="321" t="str">
        <f>IF(OR(W555=[17]Listas!$F$53,W555=[17]Listas!$F$54),[17]Listas!$G$53,IF(W555=[17]Listas!$F$55,[17]Listas!$G$55,""))</f>
        <v/>
      </c>
      <c r="Z555" s="319"/>
      <c r="AA555" s="182" t="str">
        <f>+IF(Z555=[17]Listas!$E$46,[17]Listas!$F$46,IF(Z555=[17]Listas!$E$47,[17]Listas!$F$47,""))</f>
        <v/>
      </c>
      <c r="AB555" s="183" t="str">
        <f t="shared" ref="AB555:AB561" si="84">IFERROR(X555+AA555,"")</f>
        <v/>
      </c>
      <c r="AC555" s="319"/>
      <c r="AD555" s="322"/>
      <c r="AE555" s="323"/>
      <c r="AF555" s="305" t="str">
        <f t="shared" si="78"/>
        <v>Media</v>
      </c>
      <c r="AG555" s="145">
        <f>IF(Y555=[17]Listas!$G$53,AG554-(AG554*AB555),AG554)</f>
        <v>0.48</v>
      </c>
      <c r="AH555" s="562"/>
      <c r="AI555" s="305" t="str">
        <f t="shared" si="83"/>
        <v>Moderado</v>
      </c>
      <c r="AJ555" s="145">
        <f>IF(Y555=[17]Listas!$G$55,AJ554-(AJ554*AB555),AJ554)</f>
        <v>0.6</v>
      </c>
      <c r="AK555" s="562"/>
      <c r="AL555" s="565"/>
      <c r="AM555" s="565"/>
      <c r="AN555" s="565"/>
      <c r="AO555" s="568"/>
      <c r="AP555" s="571"/>
      <c r="AQ555" s="344"/>
      <c r="AR555" s="191"/>
    </row>
    <row r="556" spans="2:44" ht="15.65" hidden="1" customHeight="1" thickTop="1" thickBot="1" x14ac:dyDescent="0.4">
      <c r="B556" s="537"/>
      <c r="C556" s="559"/>
      <c r="D556" s="574"/>
      <c r="E556" s="577"/>
      <c r="F556" s="625"/>
      <c r="G556" s="628"/>
      <c r="H556" s="628"/>
      <c r="I556" s="589"/>
      <c r="J556" s="589"/>
      <c r="K556" s="592"/>
      <c r="L556" s="589"/>
      <c r="M556" s="595"/>
      <c r="N556" s="598"/>
      <c r="O556" s="601"/>
      <c r="P556" s="595"/>
      <c r="Q556" s="604"/>
      <c r="R556" s="601"/>
      <c r="S556" s="287"/>
      <c r="T556" s="604"/>
      <c r="U556" s="142" t="s">
        <v>198</v>
      </c>
      <c r="V556" s="415"/>
      <c r="W556" s="319"/>
      <c r="X556" s="320" t="str">
        <f>IF(W556=[17]Listas!$B$46,[17]Listas!$C$46,IF(W556=[17]Listas!$B$47,[17]Listas!$C$47,IF(W556=[17]Listas!$B$48,[17]Listas!$C$48,"")))</f>
        <v/>
      </c>
      <c r="Y556" s="321" t="str">
        <f>IF(OR(W556=[17]Listas!$F$53,W556=[17]Listas!$F$54),[17]Listas!$G$53,IF(W556=[17]Listas!$F$55,[17]Listas!$G$55,""))</f>
        <v/>
      </c>
      <c r="Z556" s="319"/>
      <c r="AA556" s="182" t="str">
        <f>+IF(Z556=[17]Listas!$E$46,[17]Listas!$F$46,IF(Z556=[17]Listas!$E$47,[17]Listas!$F$47,""))</f>
        <v/>
      </c>
      <c r="AB556" s="183" t="str">
        <f t="shared" si="84"/>
        <v/>
      </c>
      <c r="AC556" s="319"/>
      <c r="AD556" s="322"/>
      <c r="AE556" s="323"/>
      <c r="AF556" s="305" t="str">
        <f t="shared" si="78"/>
        <v>Media</v>
      </c>
      <c r="AG556" s="145">
        <f>IF(Y556=[17]Listas!$G$53,AG555-(AG555*AB556),AG555)</f>
        <v>0.48</v>
      </c>
      <c r="AH556" s="562"/>
      <c r="AI556" s="305" t="str">
        <f t="shared" si="83"/>
        <v>Moderado</v>
      </c>
      <c r="AJ556" s="145">
        <f>IF(Y556=[17]Listas!$G$55,AJ555-(AJ555*AB556),AJ555)</f>
        <v>0.6</v>
      </c>
      <c r="AK556" s="562"/>
      <c r="AL556" s="565"/>
      <c r="AM556" s="565"/>
      <c r="AN556" s="565"/>
      <c r="AO556" s="568"/>
      <c r="AP556" s="571"/>
      <c r="AQ556" s="344"/>
      <c r="AR556" s="191"/>
    </row>
    <row r="557" spans="2:44" ht="16" hidden="1" customHeight="1" thickTop="1" thickBot="1" x14ac:dyDescent="0.4">
      <c r="B557" s="537"/>
      <c r="C557" s="559"/>
      <c r="D557" s="574"/>
      <c r="E557" s="577"/>
      <c r="F557" s="625"/>
      <c r="G557" s="628"/>
      <c r="H557" s="628"/>
      <c r="I557" s="589"/>
      <c r="J557" s="589"/>
      <c r="K557" s="592"/>
      <c r="L557" s="589"/>
      <c r="M557" s="595"/>
      <c r="N557" s="598"/>
      <c r="O557" s="601"/>
      <c r="P557" s="595"/>
      <c r="Q557" s="604"/>
      <c r="R557" s="601"/>
      <c r="S557" s="288"/>
      <c r="T557" s="604"/>
      <c r="U557" s="142" t="s">
        <v>208</v>
      </c>
      <c r="V557" s="415"/>
      <c r="W557" s="319"/>
      <c r="X557" s="320" t="str">
        <f>IF(W557=[17]Listas!$B$46,[17]Listas!$C$46,IF(W557=[17]Listas!$B$47,[17]Listas!$C$47,IF(W557=[17]Listas!$B$48,[17]Listas!$C$48,"")))</f>
        <v/>
      </c>
      <c r="Y557" s="321" t="str">
        <f>IF(OR(W557=[17]Listas!$F$53,W557=[17]Listas!$F$54),[17]Listas!$G$53,IF(W557=[17]Listas!$F$55,[17]Listas!$G$55,""))</f>
        <v/>
      </c>
      <c r="Z557" s="319"/>
      <c r="AA557" s="182" t="str">
        <f>+IF(Z557=[17]Listas!$E$46,[17]Listas!$F$46,IF(Z557=[17]Listas!$E$47,[17]Listas!$F$47,""))</f>
        <v/>
      </c>
      <c r="AB557" s="183" t="str">
        <f t="shared" si="84"/>
        <v/>
      </c>
      <c r="AC557" s="319"/>
      <c r="AD557" s="322"/>
      <c r="AE557" s="323"/>
      <c r="AF557" s="305" t="str">
        <f t="shared" si="78"/>
        <v>Media</v>
      </c>
      <c r="AG557" s="145">
        <f>IF(Y557=[17]Listas!$G$53,AG556-(AG556*AB557),AG556)</f>
        <v>0.48</v>
      </c>
      <c r="AH557" s="562"/>
      <c r="AI557" s="305" t="str">
        <f t="shared" si="83"/>
        <v>Moderado</v>
      </c>
      <c r="AJ557" s="145">
        <f>IF(Y557=[17]Listas!$G$55,AJ556-(AJ556*AB557),AJ556)</f>
        <v>0.6</v>
      </c>
      <c r="AK557" s="562"/>
      <c r="AL557" s="565"/>
      <c r="AM557" s="565"/>
      <c r="AN557" s="565"/>
      <c r="AO557" s="568"/>
      <c r="AP557" s="571"/>
      <c r="AQ557" s="344"/>
      <c r="AR557" s="191"/>
    </row>
    <row r="558" spans="2:44" ht="15.65" hidden="1" customHeight="1" thickTop="1" thickBot="1" x14ac:dyDescent="0.4">
      <c r="B558" s="537"/>
      <c r="C558" s="559"/>
      <c r="D558" s="574"/>
      <c r="E558" s="577"/>
      <c r="F558" s="625"/>
      <c r="G558" s="628"/>
      <c r="H558" s="628"/>
      <c r="I558" s="589"/>
      <c r="J558" s="589"/>
      <c r="K558" s="592"/>
      <c r="L558" s="589"/>
      <c r="M558" s="595"/>
      <c r="N558" s="598"/>
      <c r="O558" s="601"/>
      <c r="P558" s="595"/>
      <c r="Q558" s="604"/>
      <c r="R558" s="601"/>
      <c r="S558" s="289"/>
      <c r="T558" s="604"/>
      <c r="U558" s="142" t="s">
        <v>215</v>
      </c>
      <c r="V558" s="418"/>
      <c r="W558" s="331"/>
      <c r="X558" s="320" t="str">
        <f>IF(W558=[17]Listas!$B$46,[17]Listas!$C$46,IF(W558=[17]Listas!$B$47,[17]Listas!$C$47,IF(W558=[17]Listas!$B$48,[17]Listas!$C$48,"")))</f>
        <v/>
      </c>
      <c r="Y558" s="321" t="str">
        <f>IF(OR(W558=[17]Listas!$F$53,W558=[17]Listas!$F$54),[17]Listas!$G$53,IF(W558=[17]Listas!$F$55,[17]Listas!$G$55,""))</f>
        <v/>
      </c>
      <c r="Z558" s="331"/>
      <c r="AA558" s="182" t="str">
        <f>+IF(Z558=[17]Listas!$E$46,[17]Listas!$F$46,IF(Z558=[17]Listas!$E$47,[17]Listas!$F$47,""))</f>
        <v/>
      </c>
      <c r="AB558" s="183" t="str">
        <f t="shared" si="84"/>
        <v/>
      </c>
      <c r="AC558" s="319"/>
      <c r="AD558" s="322"/>
      <c r="AE558" s="323"/>
      <c r="AF558" s="305" t="str">
        <f t="shared" si="78"/>
        <v>Media</v>
      </c>
      <c r="AG558" s="145">
        <f>IF(Y558=[17]Listas!$G$53,AG557-(AG557*AB558),AG557)</f>
        <v>0.48</v>
      </c>
      <c r="AH558" s="562"/>
      <c r="AI558" s="305" t="str">
        <f t="shared" si="83"/>
        <v>Moderado</v>
      </c>
      <c r="AJ558" s="145">
        <f>IF(Y558=[17]Listas!$G$55,AJ557-(AJ557*AB558),AJ557)</f>
        <v>0.6</v>
      </c>
      <c r="AK558" s="562"/>
      <c r="AL558" s="565"/>
      <c r="AM558" s="565"/>
      <c r="AN558" s="565"/>
      <c r="AO558" s="568"/>
      <c r="AP558" s="571"/>
      <c r="AQ558" s="344"/>
      <c r="AR558" s="191"/>
    </row>
    <row r="559" spans="2:44" ht="15.65" hidden="1" customHeight="1" thickTop="1" thickBot="1" x14ac:dyDescent="0.4">
      <c r="B559" s="537"/>
      <c r="C559" s="559"/>
      <c r="D559" s="574"/>
      <c r="E559" s="577"/>
      <c r="F559" s="625"/>
      <c r="G559" s="628"/>
      <c r="H559" s="628"/>
      <c r="I559" s="589"/>
      <c r="J559" s="589"/>
      <c r="K559" s="592"/>
      <c r="L559" s="589"/>
      <c r="M559" s="595"/>
      <c r="N559" s="598"/>
      <c r="O559" s="601"/>
      <c r="P559" s="595"/>
      <c r="Q559" s="604"/>
      <c r="R559" s="601"/>
      <c r="S559" s="289"/>
      <c r="T559" s="604"/>
      <c r="U559" s="142" t="s">
        <v>220</v>
      </c>
      <c r="V559" s="418"/>
      <c r="W559" s="331"/>
      <c r="X559" s="320" t="str">
        <f>IF(W559=[17]Listas!$B$46,[17]Listas!$C$46,IF(W559=[17]Listas!$B$47,[17]Listas!$C$47,IF(W559=[17]Listas!$B$48,[17]Listas!$C$48,"")))</f>
        <v/>
      </c>
      <c r="Y559" s="321" t="str">
        <f>IF(OR(W559=[17]Listas!$F$53,W559=[17]Listas!$F$54),[17]Listas!$G$53,IF(W559=[17]Listas!$F$55,[17]Listas!$G$55,""))</f>
        <v/>
      </c>
      <c r="Z559" s="331"/>
      <c r="AA559" s="182" t="str">
        <f>+IF(Z559=[17]Listas!$E$46,[17]Listas!$F$46,IF(Z559=[17]Listas!$E$47,[17]Listas!$F$47,""))</f>
        <v/>
      </c>
      <c r="AB559" s="183" t="str">
        <f t="shared" si="84"/>
        <v/>
      </c>
      <c r="AC559" s="319"/>
      <c r="AD559" s="322"/>
      <c r="AE559" s="323"/>
      <c r="AF559" s="305" t="str">
        <f t="shared" si="78"/>
        <v>Media</v>
      </c>
      <c r="AG559" s="145">
        <f>IF(Y559=[17]Listas!$G$53,AG558-(AG558*AB559),AG558)</f>
        <v>0.48</v>
      </c>
      <c r="AH559" s="562"/>
      <c r="AI559" s="305" t="str">
        <f t="shared" si="83"/>
        <v>Moderado</v>
      </c>
      <c r="AJ559" s="145">
        <f>IF(Y559=[17]Listas!$G$55,AJ558-(AJ558*AB559),AJ558)</f>
        <v>0.6</v>
      </c>
      <c r="AK559" s="562"/>
      <c r="AL559" s="565"/>
      <c r="AM559" s="565"/>
      <c r="AN559" s="565"/>
      <c r="AO559" s="568"/>
      <c r="AP559" s="571"/>
      <c r="AQ559" s="344"/>
      <c r="AR559" s="191"/>
    </row>
    <row r="560" spans="2:44" ht="15.65" hidden="1" customHeight="1" thickTop="1" thickBot="1" x14ac:dyDescent="0.4">
      <c r="B560" s="537"/>
      <c r="C560" s="559"/>
      <c r="D560" s="574"/>
      <c r="E560" s="577"/>
      <c r="F560" s="625"/>
      <c r="G560" s="628"/>
      <c r="H560" s="628"/>
      <c r="I560" s="589"/>
      <c r="J560" s="589"/>
      <c r="K560" s="592"/>
      <c r="L560" s="589"/>
      <c r="M560" s="595"/>
      <c r="N560" s="598"/>
      <c r="O560" s="601"/>
      <c r="P560" s="595"/>
      <c r="Q560" s="604"/>
      <c r="R560" s="601"/>
      <c r="S560" s="289"/>
      <c r="T560" s="604"/>
      <c r="U560" s="142" t="s">
        <v>223</v>
      </c>
      <c r="V560" s="418"/>
      <c r="W560" s="331"/>
      <c r="X560" s="320" t="str">
        <f>IF(W560=[17]Listas!$B$46,[17]Listas!$C$46,IF(W560=[17]Listas!$B$47,[17]Listas!$C$47,IF(W560=[17]Listas!$B$48,[17]Listas!$C$48,"")))</f>
        <v/>
      </c>
      <c r="Y560" s="321" t="str">
        <f>IF(OR(W560=[17]Listas!$F$53,W560=[17]Listas!$F$54),[17]Listas!$G$53,IF(W560=[17]Listas!$F$55,[17]Listas!$G$55,""))</f>
        <v/>
      </c>
      <c r="Z560" s="331"/>
      <c r="AA560" s="182" t="str">
        <f>+IF(Z560=[17]Listas!$E$46,[17]Listas!$F$46,IF(Z560=[17]Listas!$E$47,[17]Listas!$F$47,""))</f>
        <v/>
      </c>
      <c r="AB560" s="183" t="str">
        <f t="shared" si="84"/>
        <v/>
      </c>
      <c r="AC560" s="319"/>
      <c r="AD560" s="322"/>
      <c r="AE560" s="323"/>
      <c r="AF560" s="305" t="str">
        <f t="shared" si="78"/>
        <v>Media</v>
      </c>
      <c r="AG560" s="145">
        <f>IF(Y560=[17]Listas!$G$53,AG559-(AG559*AB560),AG559)</f>
        <v>0.48</v>
      </c>
      <c r="AH560" s="562"/>
      <c r="AI560" s="305" t="str">
        <f t="shared" si="83"/>
        <v>Moderado</v>
      </c>
      <c r="AJ560" s="145">
        <f>IF(Y560=[17]Listas!$G$55,AJ559-(AJ559*AB560),AJ559)</f>
        <v>0.6</v>
      </c>
      <c r="AK560" s="562"/>
      <c r="AL560" s="565"/>
      <c r="AM560" s="565"/>
      <c r="AN560" s="565"/>
      <c r="AO560" s="568"/>
      <c r="AP560" s="571"/>
      <c r="AQ560" s="344"/>
      <c r="AR560" s="191"/>
    </row>
    <row r="561" spans="2:44" ht="16" hidden="1" customHeight="1" thickTop="1" thickBot="1" x14ac:dyDescent="0.4">
      <c r="B561" s="537"/>
      <c r="C561" s="559"/>
      <c r="D561" s="575"/>
      <c r="E561" s="578"/>
      <c r="F561" s="626"/>
      <c r="G561" s="629"/>
      <c r="H561" s="629"/>
      <c r="I561" s="590"/>
      <c r="J561" s="590"/>
      <c r="K561" s="593"/>
      <c r="L561" s="590"/>
      <c r="M561" s="596"/>
      <c r="N561" s="599"/>
      <c r="O561" s="602"/>
      <c r="P561" s="596"/>
      <c r="Q561" s="605"/>
      <c r="R561" s="602"/>
      <c r="S561" s="293"/>
      <c r="T561" s="605"/>
      <c r="U561" s="202" t="s">
        <v>224</v>
      </c>
      <c r="V561" s="416"/>
      <c r="W561" s="335"/>
      <c r="X561" s="336" t="str">
        <f>IF(W561=[17]Listas!$B$46,[17]Listas!$C$46,IF(W561=[17]Listas!$B$47,[17]Listas!$C$47,IF(W561=[17]Listas!$B$48,[17]Listas!$C$48,"")))</f>
        <v/>
      </c>
      <c r="Y561" s="337" t="str">
        <f>IF(OR(W561=[17]Listas!$F$53,W561=[17]Listas!$F$54),[17]Listas!$G$53,IF(W561=[17]Listas!$F$55,[17]Listas!$G$55,""))</f>
        <v/>
      </c>
      <c r="Z561" s="335"/>
      <c r="AA561" s="186" t="str">
        <f>+IF(Z561=[17]Listas!$E$46,[17]Listas!$F$46,IF(Z561=[17]Listas!$E$47,[17]Listas!$F$47,""))</f>
        <v/>
      </c>
      <c r="AB561" s="187" t="str">
        <f t="shared" si="84"/>
        <v/>
      </c>
      <c r="AC561" s="338"/>
      <c r="AD561" s="339"/>
      <c r="AE561" s="340"/>
      <c r="AF561" s="311" t="str">
        <f t="shared" si="78"/>
        <v>Media</v>
      </c>
      <c r="AG561" s="179">
        <f>IF(Y561=[17]Listas!$G$53,AG560-(AG560*AB561),AG560)</f>
        <v>0.48</v>
      </c>
      <c r="AH561" s="563"/>
      <c r="AI561" s="311" t="str">
        <f t="shared" si="83"/>
        <v>Moderado</v>
      </c>
      <c r="AJ561" s="179">
        <f>IF(Y561=[17]Listas!$G$55,AJ560-(AJ560*AB561),AJ560)</f>
        <v>0.6</v>
      </c>
      <c r="AK561" s="563"/>
      <c r="AL561" s="566"/>
      <c r="AM561" s="566"/>
      <c r="AN561" s="566"/>
      <c r="AO561" s="569"/>
      <c r="AP561" s="572"/>
      <c r="AQ561" s="346"/>
      <c r="AR561" s="192"/>
    </row>
    <row r="562" spans="2:44" ht="71" thickTop="1" thickBot="1" x14ac:dyDescent="0.4">
      <c r="B562" s="537"/>
      <c r="C562" s="560" t="s">
        <v>106</v>
      </c>
      <c r="D562" s="573" t="s">
        <v>716</v>
      </c>
      <c r="E562" s="576" t="s">
        <v>4</v>
      </c>
      <c r="F562" s="624" t="s">
        <v>717</v>
      </c>
      <c r="G562" s="627" t="s">
        <v>718</v>
      </c>
      <c r="H562" s="627" t="s">
        <v>719</v>
      </c>
      <c r="I562" s="588" t="s">
        <v>20</v>
      </c>
      <c r="J562" s="588" t="s">
        <v>22</v>
      </c>
      <c r="K562" s="591" t="s">
        <v>720</v>
      </c>
      <c r="L562" s="588" t="s">
        <v>186</v>
      </c>
      <c r="M562" s="594" t="s">
        <v>214</v>
      </c>
      <c r="N562" s="597" t="str">
        <f>+IF(M562="","",IF(M562=$BO$15,$BN$15,IF(M562=$BO$16,$BN$16,IF(M562=$BO$17,$BN$17,IF(M562=$BO$18,$BN$18,IF(M562=$BO$19,$BN$19))))))</f>
        <v>Media</v>
      </c>
      <c r="O562" s="600">
        <f>+IF(M562="","",IF(M562=$BO$15,$BR$15,IF(M562=$BO$16,$BR$16,IF(M562=$BO$17,$BR$17,IF(M562=$BO$18,$BR$18,IF(M562=$BO$19,$BR$19))))))</f>
        <v>0.6</v>
      </c>
      <c r="P562" s="594" t="s">
        <v>219</v>
      </c>
      <c r="Q562" s="603" t="str">
        <f>+IF(P562="","",IF(P562='[18]Mapa de Calor inherente'!$AF$6,'[18]Mapa de Calor inherente'!$AD$6,IF(P562='[18]Mapa de Calor inherente'!$AF$7,'[18]Mapa de Calor inherente'!$AD$7,IF(P562='[18]Mapa de Calor inherente'!$AF$8,'[18]Mapa de Calor inherente'!$AD$8,IF(P562='[18]Mapa de Calor inherente'!$AF$9,'[18]Mapa de Calor inherente'!$AD$9,IF(P562='[18]Mapa de Calor inherente'!$AF$10,'[18]Mapa de Calor inherente'!$AD$10,IF(P562='[18]Mapa de Calor inherente'!$AG$6,'[18]Mapa de Calor inherente'!$AD$6,IF(P562='[18]Mapa de Calor inherente'!$AG$7,'[18]Mapa de Calor inherente'!$AD$7,IF(P562='[18]Mapa de Calor inherente'!$AG$8,'[18]Mapa de Calor inherente'!$AD$8,IF(P562='[18]Mapa de Calor inherente'!$AG$9,'[18]Mapa de Calor inherente'!$AD$9,IF(P562='[18]Mapa de Calor inherente'!$AG$10,'[18]Mapa de Calor inherente'!$AD$10,IF(P562='[18]Mapa de Calor inherente'!$AD$8,'[18]Mapa de Calor inherente'!$AD$8,IF(P562='[18]Mapa de Calor inherente'!$AD$9,'[18]Mapa de Calor inherente'!$AD$9,IF(P562='[18]Mapa de Calor inherente'!$AD$10,'[18]Mapa de Calor inherente'!$AD$10))))))))))))))</f>
        <v>Mayor</v>
      </c>
      <c r="R562" s="600">
        <f>+IF(P562="","",IF(P562='[18]Mapa de Calor inherente'!$AF$6,'[18]Mapa de Calor inherente'!$AE$6,IF(P562='[18]Mapa de Calor inherente'!$AF$7,'[18]Mapa de Calor inherente'!$AE$7,IF(P562='[18]Mapa de Calor inherente'!$AF$8,'[18]Mapa de Calor inherente'!$AE$8,IF(P562='[18]Mapa de Calor inherente'!$AF$9,'[18]Mapa de Calor inherente'!$AE$9,IF(P562='[18]Mapa de Calor inherente'!$AF$10,'[18]Mapa de Calor inherente'!$AE$10,IF(P562='[18]Mapa de Calor inherente'!$AG$6,'[18]Mapa de Calor inherente'!$AE$6,IF(P562='[18]Mapa de Calor inherente'!$AG$7,'[18]Mapa de Calor inherente'!$AE$7,IF(P562='[18]Mapa de Calor inherente'!$AG$8,'[18]Mapa de Calor inherente'!$AE$8,IF(P562='[18]Mapa de Calor inherente'!$AG$9,'[18]Mapa de Calor inherente'!$AE$9,IF(P562='[18]Mapa de Calor inherente'!$AG$10,'[18]Mapa de Calor inherente'!$AE$10,IF(P562='[18]Mapa de Calor inherente'!$AD$8,'[18]Mapa de Calor inherente'!$AE$8,IF(P562='[18]Mapa de Calor inherente'!$AD$9,'[18]Mapa de Calor inherente'!$AE$9,IF(P562='[18]Mapa de Calor inherente'!$AD$10,'[18]Mapa de Calor inherente'!$AE$10))))))))))))))</f>
        <v>0.8</v>
      </c>
      <c r="S562" s="292"/>
      <c r="T562" s="606" t="str">
        <f>+IF(N562=$BB$17,IF(Q562=$BC$16,$BC$17,IF(Q562=$BD$16,$BD$17,IF(Q562=$BE$16,$BE$17,IF(Q562=$BF$16,$BF$17,IF(Q562=$BG$16,$BG$17))))),IF(N562=$BB$18,IF(Q562=$BC$16,$BC$18,IF(Q562=$BD$16,$BD$18,IF(Q562=$BE$16,$BE$18,IF(Q562=$BF$16,$BF$18,IF(Q562=$BG$16,$BG$18))))),IF(N562=$BB$19,IF(Q562=$BC$16,$BC$19,IF(Q562=$BD$16,$BD$19,IF(Q562=$BE$16,$BE$19,IF(Q562=$BF$16,$BF$19,IF(Q562=$BG$16,$BG$19))))),IF(N562=$BB$20,IF(Q562=$BC$16,$BC$20,IF(Q562=$BD$16,$BD$20,IF(Q562=$BE$16,$BE$20,IF(Q562=$BF$16,$BF$20,IF(Q562=$BG$16,$BG$20))))),IF(N562=$BB$21,IF(Q562=$BC$16,$BC$21,IF(Q562=$BD$16,$BD$21,IF(Q562=$BE$16,$BE$21,IF(Q562=$BF$16,$BF$21,IF(Q562=$BG$16,$BG$21))))),"")))))</f>
        <v>Alto</v>
      </c>
      <c r="U562" s="139" t="s">
        <v>171</v>
      </c>
      <c r="V562" s="436" t="s">
        <v>721</v>
      </c>
      <c r="W562" s="313" t="s">
        <v>40</v>
      </c>
      <c r="X562" s="314">
        <f>IF(W562=[18]Listas!$B$46,[18]Listas!$C$46,IF(W562=[18]Listas!$B$47,[18]Listas!$C$47,IF(W562=[18]Listas!$B$48,[18]Listas!$C$48,"")))</f>
        <v>0.25</v>
      </c>
      <c r="Y562" s="315" t="str">
        <f>IF(OR(W562=[18]Listas!$F$53,W562=[18]Listas!$F$54),[18]Listas!$G$53,IF(W562=[18]Listas!$F$55,[18]Listas!$G$55,""))</f>
        <v>Probabilidad</v>
      </c>
      <c r="Z562" s="313" t="s">
        <v>43</v>
      </c>
      <c r="AA562" s="314">
        <f>+IF(Z562=[18]Listas!$E$46,[18]Listas!$F$46,IF(Z562=[18]Listas!$E$47,[18]Listas!$F$47,""))</f>
        <v>0.15</v>
      </c>
      <c r="AB562" s="181">
        <f>IFERROR(X562+AA562,"")</f>
        <v>0.4</v>
      </c>
      <c r="AC562" s="313" t="s">
        <v>57</v>
      </c>
      <c r="AD562" s="316" t="s">
        <v>58</v>
      </c>
      <c r="AE562" s="317" t="s">
        <v>59</v>
      </c>
      <c r="AF562" s="299" t="str">
        <f t="shared" si="78"/>
        <v>Baja</v>
      </c>
      <c r="AG562" s="141">
        <f>IF(Y562=[18]Listas!$G$53,O562-(O562*AB562),O562)</f>
        <v>0.36</v>
      </c>
      <c r="AH562" s="561">
        <f>+IF(AG571="","",AG571)</f>
        <v>0.216</v>
      </c>
      <c r="AI562" s="299" t="str">
        <f>IF(AJ562="","",IF(AJ562&lt;=20%,"Leve",IF(AJ562&lt;=40%,"Menor",IF(AJ562&lt;=60%,"Moderado",IF(AJ562&lt;=80%,"Mayor","Catastrófico")))))</f>
        <v>Mayor</v>
      </c>
      <c r="AJ562" s="141">
        <f>IF(Y562=[18]Listas!$G$55,R562-(R562*AB562),R562)</f>
        <v>0.8</v>
      </c>
      <c r="AK562" s="561">
        <f>+IF(AJ571="","",AJ571)</f>
        <v>0.8</v>
      </c>
      <c r="AL562" s="564" t="str">
        <f>+IF(AH562=0,"",IF(AH562&lt;=$BA$21,$BB$21,IF(AH562&lt;=$BA$20,$BB$20,IF(AH562&lt;=$BA$19,$BB$19,IF(AH562&lt;=$BA$18,$BB$18,IF(AH562&lt;=$BA$17,$BB$17,""))))))</f>
        <v>Baja</v>
      </c>
      <c r="AM562" s="564" t="str">
        <f>+IF(AK562=0,"",IF(AK562&lt;=$BC$15,$BC$16,IF(AK562&lt;=$BD$15,$BD$16,IF(AK562&lt;=$BE$15,$BE$16,IF(AK562&lt;=$BF$15,$BF$16,IF(AK562&lt;=$BG$15,$BG$16,""))))))</f>
        <v>Mayor</v>
      </c>
      <c r="AN562" s="564" t="str">
        <f>IF(AL562=$BB$17,IF(AM562=$BC$16,$BC$17,IF(AM562=$BD$16,$BD$17,IF(AM562=$BE$16,$BE$17,IF(AM562=$BF$16,$BF$17,IF(AM562=$BG$16,$BG$17))))),IF(AL562=$BB$18,IF(AM562=$BC$16,$BC$18,IF(AM562=$BD$16,$BD$18,IF(AM562=$BE$16,$BE$18,IF(AM562=$BF$16,$BF$18,IF(AM562=$BG$16,$BG$18))))),IF(AL562=$BB$19,IF(AM562=$BC$16,$BC$19,IF(AM562=$BD$16,$BD$19,IF(AM562=$BE$16,$BE$19,IF(AM562=$BF$16,$BF$19,IF(AM562=$BG$16,$BG$19))))),IF(AL562=$BB$20,IF(AM562=$BC$16,$BC$20,IF(AM562=$BD$16,$BD$20,IF(AM562=$BE$16,$BE$20,IF(AM562=$BF$16,$BF$20,IF(AM562=$BG$16,$BG$20))))),IF(AL562=$BB$21,IF(AM562=$BC$16,$BC$21,IF(AM562=$BD$16,$BD$21,IF(AM562=$BE$16,$BE$21,IF(AM562=$BF$16,$BF$21,IF(AM562=$BG$16,$BG$21))))),"")))))</f>
        <v>Alto</v>
      </c>
      <c r="AO562" s="567" t="str">
        <f>IF(AP562="","",IF(AP562=[18]Listas!$F$61,[18]Listas!$G$61,IF(AP562=[18]Listas!$F$63,[18]Listas!$G$63,IF(AP562=[18]Listas!$F$64,[18]Listas!$G$64))))</f>
        <v>Requiere Plan de Acción</v>
      </c>
      <c r="AP562" s="570" t="str">
        <f>IF(AN562="","",IF(OR(AN562=[18]Listas!$E$61,AN562=[18]Listas!$E$62),[18]Listas!$F$61,IF(AN562=[18]Listas!$E$63,[18]Listas!$F$63,IF(AN562=[18]Listas!$E$64,[18]Listas!$F$64))))</f>
        <v>Reducir, evitar, compartir o transferir el riesgo</v>
      </c>
      <c r="AQ562" s="318" t="s">
        <v>76</v>
      </c>
      <c r="AR562" s="246" t="s">
        <v>722</v>
      </c>
    </row>
    <row r="563" spans="2:44" ht="138" customHeight="1" thickTop="1" thickBot="1" x14ac:dyDescent="0.4">
      <c r="B563" s="537"/>
      <c r="C563" s="560"/>
      <c r="D563" s="574"/>
      <c r="E563" s="577"/>
      <c r="F563" s="625"/>
      <c r="G563" s="628"/>
      <c r="H563" s="628"/>
      <c r="I563" s="589"/>
      <c r="J563" s="589"/>
      <c r="K563" s="592"/>
      <c r="L563" s="589"/>
      <c r="M563" s="595"/>
      <c r="N563" s="598"/>
      <c r="O563" s="601"/>
      <c r="P563" s="595"/>
      <c r="Q563" s="604"/>
      <c r="R563" s="601"/>
      <c r="S563" s="286"/>
      <c r="T563" s="607"/>
      <c r="U563" s="142" t="s">
        <v>174</v>
      </c>
      <c r="V563" s="432" t="s">
        <v>723</v>
      </c>
      <c r="W563" s="319" t="s">
        <v>40</v>
      </c>
      <c r="X563" s="320">
        <f>IF(W563=[18]Listas!$B$46,[18]Listas!$C$46,IF(W563=[18]Listas!$B$47,[18]Listas!$C$47,IF(W563=[18]Listas!$B$48,[18]Listas!$C$48,"")))</f>
        <v>0.25</v>
      </c>
      <c r="Y563" s="321" t="str">
        <f>IF(OR(W563=[18]Listas!$F$53,W563=[18]Listas!$F$54),[18]Listas!$G$53,IF(W563=[18]Listas!$F$55,[18]Listas!$G$55,""))</f>
        <v>Probabilidad</v>
      </c>
      <c r="Z563" s="319" t="s">
        <v>43</v>
      </c>
      <c r="AA563" s="182">
        <f>+IF(Z563=[18]Listas!$E$46,[18]Listas!$F$46,IF(Z563=[18]Listas!$E$47,[18]Listas!$F$47,""))</f>
        <v>0.15</v>
      </c>
      <c r="AB563" s="183">
        <f>IFERROR(X563+AA563,"")</f>
        <v>0.4</v>
      </c>
      <c r="AC563" s="319" t="s">
        <v>57</v>
      </c>
      <c r="AD563" s="322" t="s">
        <v>58</v>
      </c>
      <c r="AE563" s="323" t="s">
        <v>59</v>
      </c>
      <c r="AF563" s="305" t="str">
        <f t="shared" si="78"/>
        <v>Baja</v>
      </c>
      <c r="AG563" s="145">
        <f>IF(Y563=[18]Listas!$G$53,AG562-(AG562*AB563),AG562)</f>
        <v>0.216</v>
      </c>
      <c r="AH563" s="562"/>
      <c r="AI563" s="305" t="str">
        <f t="shared" ref="AI563:AI581" si="85">IF(AJ563="","",IF(AJ563&lt;=20%,"Leve",IF(AJ563&lt;=40%,"Menor",IF(AJ563&lt;=60%,"Moderado",IF(AJ563&lt;=80%,"Mayor","Catastrófico")))))</f>
        <v>Mayor</v>
      </c>
      <c r="AJ563" s="145">
        <f>IF(Y563=[18]Listas!$G$55,AJ562-(AJ562*AB563),AJ562)</f>
        <v>0.8</v>
      </c>
      <c r="AK563" s="562"/>
      <c r="AL563" s="565"/>
      <c r="AM563" s="565"/>
      <c r="AN563" s="565"/>
      <c r="AO563" s="568"/>
      <c r="AP563" s="571"/>
      <c r="AQ563" s="324" t="s">
        <v>82</v>
      </c>
      <c r="AR563" s="185" t="s">
        <v>724</v>
      </c>
    </row>
    <row r="564" spans="2:44" ht="73" customHeight="1" thickTop="1" thickBot="1" x14ac:dyDescent="0.4">
      <c r="B564" s="537"/>
      <c r="C564" s="560"/>
      <c r="D564" s="574"/>
      <c r="E564" s="577"/>
      <c r="F564" s="625"/>
      <c r="G564" s="628"/>
      <c r="H564" s="628"/>
      <c r="I564" s="589"/>
      <c r="J564" s="589"/>
      <c r="K564" s="592"/>
      <c r="L564" s="589"/>
      <c r="M564" s="595"/>
      <c r="N564" s="598"/>
      <c r="O564" s="601"/>
      <c r="P564" s="595"/>
      <c r="Q564" s="604"/>
      <c r="R564" s="601"/>
      <c r="S564" s="287"/>
      <c r="T564" s="607"/>
      <c r="U564" s="142" t="s">
        <v>180</v>
      </c>
      <c r="V564" s="415"/>
      <c r="W564" s="319"/>
      <c r="X564" s="320" t="str">
        <f>IF(W564=[18]Listas!$B$46,[18]Listas!$C$46,IF(W564=[18]Listas!$B$47,[18]Listas!$C$47,IF(W564=[18]Listas!$B$48,[18]Listas!$C$48,"")))</f>
        <v/>
      </c>
      <c r="Y564" s="321" t="str">
        <f>IF(OR(W564=[18]Listas!$F$53,W564=[18]Listas!$F$54),[18]Listas!$G$53,IF(W564=[18]Listas!$F$55,[18]Listas!$G$55,""))</f>
        <v/>
      </c>
      <c r="Z564" s="319"/>
      <c r="AA564" s="182" t="str">
        <f>+IF(Z564=[18]Listas!$E$46,[18]Listas!$F$46,IF(Z564=[18]Listas!$E$47,[18]Listas!$F$47,""))</f>
        <v/>
      </c>
      <c r="AB564" s="183" t="str">
        <f>IFERROR(X564+AA564,"")</f>
        <v/>
      </c>
      <c r="AC564" s="325"/>
      <c r="AD564" s="326"/>
      <c r="AE564" s="327"/>
      <c r="AF564" s="305" t="str">
        <f t="shared" si="78"/>
        <v>Baja</v>
      </c>
      <c r="AG564" s="145">
        <f>IF(Y564=[18]Listas!$G$53,AG563-(AG563*AB564),AG563)</f>
        <v>0.216</v>
      </c>
      <c r="AH564" s="562"/>
      <c r="AI564" s="305" t="str">
        <f t="shared" si="85"/>
        <v>Mayor</v>
      </c>
      <c r="AJ564" s="145">
        <f>IF(Y564=[18]Listas!$G$55,AJ563-(AJ563*AB564),AJ563)</f>
        <v>0.8</v>
      </c>
      <c r="AK564" s="562"/>
      <c r="AL564" s="565"/>
      <c r="AM564" s="565"/>
      <c r="AN564" s="565"/>
      <c r="AO564" s="568"/>
      <c r="AP564" s="571"/>
      <c r="AQ564" s="324" t="s">
        <v>90</v>
      </c>
      <c r="AR564" s="185" t="s">
        <v>725</v>
      </c>
    </row>
    <row r="565" spans="2:44" ht="15" hidden="1" customHeight="1" thickBot="1" x14ac:dyDescent="0.4">
      <c r="B565" s="537"/>
      <c r="C565" s="560"/>
      <c r="D565" s="574"/>
      <c r="E565" s="577"/>
      <c r="F565" s="625"/>
      <c r="G565" s="628"/>
      <c r="H565" s="628"/>
      <c r="I565" s="589"/>
      <c r="J565" s="589"/>
      <c r="K565" s="592"/>
      <c r="L565" s="589"/>
      <c r="M565" s="595"/>
      <c r="N565" s="598"/>
      <c r="O565" s="601"/>
      <c r="P565" s="595"/>
      <c r="Q565" s="604"/>
      <c r="R565" s="601"/>
      <c r="S565" s="287"/>
      <c r="T565" s="607"/>
      <c r="U565" s="142" t="s">
        <v>190</v>
      </c>
      <c r="V565" s="415"/>
      <c r="W565" s="319"/>
      <c r="X565" s="320" t="str">
        <f>IF(W565=[18]Listas!$B$46,[18]Listas!$C$46,IF(W565=[18]Listas!$B$47,[18]Listas!$C$47,IF(W565=[18]Listas!$B$48,[18]Listas!$C$48,"")))</f>
        <v/>
      </c>
      <c r="Y565" s="321" t="str">
        <f>IF(OR(W565=[18]Listas!$F$53,W565=[18]Listas!$F$54),[18]Listas!$G$53,IF(W565=[18]Listas!$F$55,[18]Listas!$G$55,""))</f>
        <v/>
      </c>
      <c r="Z565" s="319"/>
      <c r="AA565" s="182" t="str">
        <f>+IF(Z565=[18]Listas!$E$46,[18]Listas!$F$46,IF(Z565=[18]Listas!$E$47,[18]Listas!$F$47,""))</f>
        <v/>
      </c>
      <c r="AB565" s="183" t="str">
        <f t="shared" ref="AB565:AB571" si="86">IFERROR(X565+AA565,"")</f>
        <v/>
      </c>
      <c r="AC565" s="328"/>
      <c r="AD565" s="329"/>
      <c r="AE565" s="330"/>
      <c r="AF565" s="305" t="str">
        <f t="shared" si="78"/>
        <v>Baja</v>
      </c>
      <c r="AG565" s="145">
        <f>IF(Y565=[18]Listas!$G$53,AG564-(AG564*AB565),AG564)</f>
        <v>0.216</v>
      </c>
      <c r="AH565" s="562"/>
      <c r="AI565" s="305" t="str">
        <f t="shared" si="85"/>
        <v>Mayor</v>
      </c>
      <c r="AJ565" s="145">
        <f>IF(Y565=[18]Listas!$G$55,AJ564-(AJ564*AB565),AJ564)</f>
        <v>0.8</v>
      </c>
      <c r="AK565" s="562"/>
      <c r="AL565" s="565"/>
      <c r="AM565" s="565"/>
      <c r="AN565" s="565"/>
      <c r="AO565" s="568"/>
      <c r="AP565" s="571"/>
      <c r="AQ565" s="324"/>
      <c r="AR565" s="185"/>
    </row>
    <row r="566" spans="2:44" ht="15" hidden="1" customHeight="1" x14ac:dyDescent="0.35">
      <c r="B566" s="537"/>
      <c r="C566" s="560"/>
      <c r="D566" s="574"/>
      <c r="E566" s="577"/>
      <c r="F566" s="625"/>
      <c r="G566" s="628"/>
      <c r="H566" s="628"/>
      <c r="I566" s="589"/>
      <c r="J566" s="589"/>
      <c r="K566" s="592"/>
      <c r="L566" s="589"/>
      <c r="M566" s="595"/>
      <c r="N566" s="598"/>
      <c r="O566" s="601"/>
      <c r="P566" s="595"/>
      <c r="Q566" s="604"/>
      <c r="R566" s="601"/>
      <c r="S566" s="287"/>
      <c r="T566" s="607"/>
      <c r="U566" s="142" t="s">
        <v>198</v>
      </c>
      <c r="V566" s="415"/>
      <c r="W566" s="331"/>
      <c r="X566" s="320" t="str">
        <f>IF(W566=[18]Listas!$B$46,[18]Listas!$C$46,IF(W566=[18]Listas!$B$47,[18]Listas!$C$47,IF(W566=[18]Listas!$B$48,[18]Listas!$C$48,"")))</f>
        <v/>
      </c>
      <c r="Y566" s="321" t="str">
        <f>IF(OR(W566=[18]Listas!$F$53,W566=[18]Listas!$F$54),[18]Listas!$G$53,IF(W566=[18]Listas!$F$55,[18]Listas!$G$55,""))</f>
        <v/>
      </c>
      <c r="Z566" s="331"/>
      <c r="AA566" s="182" t="str">
        <f>+IF(Z566=[18]Listas!$E$46,[18]Listas!$F$46,IF(Z566=[18]Listas!$E$47,[18]Listas!$F$47,""))</f>
        <v/>
      </c>
      <c r="AB566" s="183" t="str">
        <f t="shared" si="86"/>
        <v/>
      </c>
      <c r="AC566" s="319"/>
      <c r="AD566" s="322"/>
      <c r="AE566" s="323"/>
      <c r="AF566" s="305" t="str">
        <f t="shared" si="78"/>
        <v>Baja</v>
      </c>
      <c r="AG566" s="145">
        <f>IF(Y566=[18]Listas!$G$53,AG565-(AG565*AB566),AG565)</f>
        <v>0.216</v>
      </c>
      <c r="AH566" s="562"/>
      <c r="AI566" s="305" t="str">
        <f t="shared" si="85"/>
        <v>Mayor</v>
      </c>
      <c r="AJ566" s="145">
        <f>IF(Y566=[18]Listas!$G$55,AJ565-(AJ565*AB566),AJ565)</f>
        <v>0.8</v>
      </c>
      <c r="AK566" s="562"/>
      <c r="AL566" s="565"/>
      <c r="AM566" s="565"/>
      <c r="AN566" s="565"/>
      <c r="AO566" s="568"/>
      <c r="AP566" s="571"/>
      <c r="AQ566" s="324"/>
      <c r="AR566" s="185"/>
    </row>
    <row r="567" spans="2:44" ht="15.75" hidden="1" customHeight="1" thickTop="1" x14ac:dyDescent="0.35">
      <c r="B567" s="537"/>
      <c r="C567" s="560"/>
      <c r="D567" s="574"/>
      <c r="E567" s="577"/>
      <c r="F567" s="625"/>
      <c r="G567" s="628"/>
      <c r="H567" s="628"/>
      <c r="I567" s="589"/>
      <c r="J567" s="589"/>
      <c r="K567" s="592"/>
      <c r="L567" s="589"/>
      <c r="M567" s="595"/>
      <c r="N567" s="598"/>
      <c r="O567" s="601"/>
      <c r="P567" s="595"/>
      <c r="Q567" s="604"/>
      <c r="R567" s="601"/>
      <c r="S567" s="288"/>
      <c r="T567" s="607"/>
      <c r="U567" s="142" t="s">
        <v>208</v>
      </c>
      <c r="V567" s="415"/>
      <c r="W567" s="331"/>
      <c r="X567" s="320" t="str">
        <f>IF(W567=[18]Listas!$B$46,[18]Listas!$C$46,IF(W567=[18]Listas!$B$47,[18]Listas!$C$47,IF(W567=[18]Listas!$B$48,[18]Listas!$C$48,"")))</f>
        <v/>
      </c>
      <c r="Y567" s="321" t="str">
        <f>IF(OR(W567=[18]Listas!$F$53,W567=[18]Listas!$F$54),[18]Listas!$G$53,IF(W567=[18]Listas!$F$55,[18]Listas!$G$55,""))</f>
        <v/>
      </c>
      <c r="Z567" s="331"/>
      <c r="AA567" s="182" t="str">
        <f>+IF(Z567=[18]Listas!$E$46,[18]Listas!$F$46,IF(Z567=[18]Listas!$E$47,[18]Listas!$F$47,""))</f>
        <v/>
      </c>
      <c r="AB567" s="183" t="str">
        <f t="shared" si="86"/>
        <v/>
      </c>
      <c r="AC567" s="319"/>
      <c r="AD567" s="322"/>
      <c r="AE567" s="323"/>
      <c r="AF567" s="305" t="str">
        <f t="shared" si="78"/>
        <v>Baja</v>
      </c>
      <c r="AG567" s="145">
        <f>IF(Y567=[18]Listas!$G$53,AG566-(AG566*AB567),AG566)</f>
        <v>0.216</v>
      </c>
      <c r="AH567" s="562"/>
      <c r="AI567" s="305" t="str">
        <f t="shared" si="85"/>
        <v>Mayor</v>
      </c>
      <c r="AJ567" s="145">
        <f>IF(Y567=[18]Listas!$G$55,AJ566-(AJ566*AB567),AJ566)</f>
        <v>0.8</v>
      </c>
      <c r="AK567" s="562"/>
      <c r="AL567" s="565"/>
      <c r="AM567" s="565"/>
      <c r="AN567" s="565"/>
      <c r="AO567" s="568"/>
      <c r="AP567" s="571"/>
      <c r="AQ567" s="332"/>
      <c r="AR567" s="185"/>
    </row>
    <row r="568" spans="2:44" ht="15" hidden="1" customHeight="1" thickTop="1" x14ac:dyDescent="0.35">
      <c r="B568" s="537"/>
      <c r="C568" s="560"/>
      <c r="D568" s="574"/>
      <c r="E568" s="577"/>
      <c r="F568" s="625"/>
      <c r="G568" s="628"/>
      <c r="H568" s="628"/>
      <c r="I568" s="589"/>
      <c r="J568" s="589"/>
      <c r="K568" s="592"/>
      <c r="L568" s="589"/>
      <c r="M568" s="595"/>
      <c r="N568" s="598"/>
      <c r="O568" s="601"/>
      <c r="P568" s="595"/>
      <c r="Q568" s="604"/>
      <c r="R568" s="601"/>
      <c r="S568" s="289"/>
      <c r="T568" s="607"/>
      <c r="U568" s="142" t="s">
        <v>215</v>
      </c>
      <c r="V568" s="415"/>
      <c r="W568" s="331"/>
      <c r="X568" s="320" t="str">
        <f>IF(W568=[18]Listas!$B$46,[18]Listas!$C$46,IF(W568=[18]Listas!$B$47,[18]Listas!$C$47,IF(W568=[18]Listas!$B$48,[18]Listas!$C$48,"")))</f>
        <v/>
      </c>
      <c r="Y568" s="321" t="str">
        <f>IF(OR(W568=[18]Listas!$F$53,W568=[18]Listas!$F$54),[18]Listas!$G$53,IF(W568=[18]Listas!$F$55,[18]Listas!$G$55,""))</f>
        <v/>
      </c>
      <c r="Z568" s="331"/>
      <c r="AA568" s="182" t="str">
        <f>+IF(Z568=[18]Listas!$E$46,[18]Listas!$F$46,IF(Z568=[18]Listas!$E$47,[18]Listas!$F$47,""))</f>
        <v/>
      </c>
      <c r="AB568" s="183" t="str">
        <f t="shared" si="86"/>
        <v/>
      </c>
      <c r="AC568" s="319"/>
      <c r="AD568" s="322"/>
      <c r="AE568" s="323"/>
      <c r="AF568" s="305" t="str">
        <f t="shared" si="78"/>
        <v>Baja</v>
      </c>
      <c r="AG568" s="145">
        <f>IF(Y568=[18]Listas!$G$53,AG567-(AG567*AB568),AG567)</f>
        <v>0.216</v>
      </c>
      <c r="AH568" s="562"/>
      <c r="AI568" s="305" t="str">
        <f t="shared" si="85"/>
        <v>Mayor</v>
      </c>
      <c r="AJ568" s="145">
        <f>IF(Y568=[18]Listas!$G$55,AJ567-(AJ567*AB568),AJ567)</f>
        <v>0.8</v>
      </c>
      <c r="AK568" s="562"/>
      <c r="AL568" s="565"/>
      <c r="AM568" s="565"/>
      <c r="AN568" s="565"/>
      <c r="AO568" s="568"/>
      <c r="AP568" s="571"/>
      <c r="AQ568" s="333"/>
      <c r="AR568" s="185"/>
    </row>
    <row r="569" spans="2:44" ht="15" hidden="1" customHeight="1" thickTop="1" x14ac:dyDescent="0.35">
      <c r="B569" s="537"/>
      <c r="C569" s="560"/>
      <c r="D569" s="574"/>
      <c r="E569" s="577"/>
      <c r="F569" s="625"/>
      <c r="G569" s="628"/>
      <c r="H569" s="628"/>
      <c r="I569" s="589"/>
      <c r="J569" s="589"/>
      <c r="K569" s="592"/>
      <c r="L569" s="589"/>
      <c r="M569" s="595"/>
      <c r="N569" s="598"/>
      <c r="O569" s="601"/>
      <c r="P569" s="595"/>
      <c r="Q569" s="604"/>
      <c r="R569" s="601"/>
      <c r="S569" s="289"/>
      <c r="T569" s="607"/>
      <c r="U569" s="142" t="s">
        <v>220</v>
      </c>
      <c r="V569" s="415"/>
      <c r="W569" s="331"/>
      <c r="X569" s="320" t="str">
        <f>IF(W569=[18]Listas!$B$46,[18]Listas!$C$46,IF(W569=[18]Listas!$B$47,[18]Listas!$C$47,IF(W569=[18]Listas!$B$48,[18]Listas!$C$48,"")))</f>
        <v/>
      </c>
      <c r="Y569" s="321" t="str">
        <f>IF(OR(W569=[18]Listas!$F$53,W569=[18]Listas!$F$54),[18]Listas!$G$53,IF(W569=[18]Listas!$F$55,[18]Listas!$G$55,""))</f>
        <v/>
      </c>
      <c r="Z569" s="331"/>
      <c r="AA569" s="182" t="str">
        <f>+IF(Z569=[18]Listas!$E$46,[18]Listas!$F$46,IF(Z569=[18]Listas!$E$47,[18]Listas!$F$47,""))</f>
        <v/>
      </c>
      <c r="AB569" s="183" t="str">
        <f t="shared" si="86"/>
        <v/>
      </c>
      <c r="AC569" s="319"/>
      <c r="AD569" s="322"/>
      <c r="AE569" s="323"/>
      <c r="AF569" s="305" t="str">
        <f t="shared" si="78"/>
        <v>Baja</v>
      </c>
      <c r="AG569" s="145">
        <f>IF(Y569=[18]Listas!$G$53,AG568-(AG568*AB569),AG568)</f>
        <v>0.216</v>
      </c>
      <c r="AH569" s="562"/>
      <c r="AI569" s="305" t="str">
        <f t="shared" si="85"/>
        <v>Mayor</v>
      </c>
      <c r="AJ569" s="145">
        <f>IF(Y569=[18]Listas!$G$55,AJ568-(AJ568*AB569),AJ568)</f>
        <v>0.8</v>
      </c>
      <c r="AK569" s="562"/>
      <c r="AL569" s="565"/>
      <c r="AM569" s="565"/>
      <c r="AN569" s="565"/>
      <c r="AO569" s="568"/>
      <c r="AP569" s="571"/>
      <c r="AQ569" s="334"/>
      <c r="AR569" s="185"/>
    </row>
    <row r="570" spans="2:44" ht="15" hidden="1" customHeight="1" thickTop="1" x14ac:dyDescent="0.35">
      <c r="B570" s="537"/>
      <c r="C570" s="560"/>
      <c r="D570" s="574"/>
      <c r="E570" s="577"/>
      <c r="F570" s="625"/>
      <c r="G570" s="628"/>
      <c r="H570" s="628"/>
      <c r="I570" s="589"/>
      <c r="J570" s="589"/>
      <c r="K570" s="592"/>
      <c r="L570" s="589"/>
      <c r="M570" s="595"/>
      <c r="N570" s="598"/>
      <c r="O570" s="601"/>
      <c r="P570" s="595"/>
      <c r="Q570" s="604"/>
      <c r="R570" s="601"/>
      <c r="S570" s="289"/>
      <c r="T570" s="607"/>
      <c r="U570" s="142" t="s">
        <v>223</v>
      </c>
      <c r="V570" s="415"/>
      <c r="W570" s="331"/>
      <c r="X570" s="320" t="str">
        <f>IF(W570=[18]Listas!$B$46,[18]Listas!$C$46,IF(W570=[18]Listas!$B$47,[18]Listas!$C$47,IF(W570=[18]Listas!$B$48,[18]Listas!$C$48,"")))</f>
        <v/>
      </c>
      <c r="Y570" s="321" t="str">
        <f>IF(OR(W570=[18]Listas!$F$53,W570=[18]Listas!$F$54),[18]Listas!$G$53,IF(W570=[18]Listas!$F$55,[18]Listas!$G$55,""))</f>
        <v/>
      </c>
      <c r="Z570" s="331"/>
      <c r="AA570" s="182" t="str">
        <f>+IF(Z570=[18]Listas!$E$46,[18]Listas!$F$46,IF(Z570=[18]Listas!$E$47,[18]Listas!$F$47,""))</f>
        <v/>
      </c>
      <c r="AB570" s="183" t="str">
        <f t="shared" si="86"/>
        <v/>
      </c>
      <c r="AC570" s="319"/>
      <c r="AD570" s="322"/>
      <c r="AE570" s="323"/>
      <c r="AF570" s="305" t="str">
        <f t="shared" si="78"/>
        <v>Baja</v>
      </c>
      <c r="AG570" s="145">
        <f>IF(Y570=[18]Listas!$G$53,AG569-(AG569*AB570),AG569)</f>
        <v>0.216</v>
      </c>
      <c r="AH570" s="562"/>
      <c r="AI570" s="305" t="str">
        <f t="shared" si="85"/>
        <v>Mayor</v>
      </c>
      <c r="AJ570" s="145">
        <f>IF(Y570=[18]Listas!$G$55,AJ569-(AJ569*AB570),AJ569)</f>
        <v>0.8</v>
      </c>
      <c r="AK570" s="562"/>
      <c r="AL570" s="565"/>
      <c r="AM570" s="565"/>
      <c r="AN570" s="565"/>
      <c r="AO570" s="568"/>
      <c r="AP570" s="571"/>
      <c r="AQ570" s="324"/>
      <c r="AR570" s="185"/>
    </row>
    <row r="571" spans="2:44" ht="15.75" hidden="1" customHeight="1" thickTop="1" x14ac:dyDescent="0.35">
      <c r="B571" s="537"/>
      <c r="C571" s="560"/>
      <c r="D571" s="575"/>
      <c r="E571" s="578"/>
      <c r="F571" s="626"/>
      <c r="G571" s="629"/>
      <c r="H571" s="629"/>
      <c r="I571" s="590"/>
      <c r="J571" s="590"/>
      <c r="K571" s="593"/>
      <c r="L571" s="590"/>
      <c r="M571" s="596"/>
      <c r="N571" s="599"/>
      <c r="O571" s="602"/>
      <c r="P571" s="596"/>
      <c r="Q571" s="605"/>
      <c r="R571" s="602"/>
      <c r="S571" s="293"/>
      <c r="T571" s="608"/>
      <c r="U571" s="202" t="s">
        <v>224</v>
      </c>
      <c r="V571" s="416"/>
      <c r="W571" s="335"/>
      <c r="X571" s="336" t="str">
        <f>IF(W571=[18]Listas!$B$46,[18]Listas!$C$46,IF(W571=[18]Listas!$B$47,[18]Listas!$C$47,IF(W571=[18]Listas!$B$48,[18]Listas!$C$48,"")))</f>
        <v/>
      </c>
      <c r="Y571" s="337" t="str">
        <f>IF(OR(W571=[18]Listas!$F$53,W571=[18]Listas!$F$54),[18]Listas!$G$53,IF(W571=[18]Listas!$F$55,[18]Listas!$G$55,""))</f>
        <v/>
      </c>
      <c r="Z571" s="335"/>
      <c r="AA571" s="186" t="str">
        <f>+IF(Z571=[18]Listas!$E$46,[18]Listas!$F$46,IF(Z571=[18]Listas!$E$47,[18]Listas!$F$47,""))</f>
        <v/>
      </c>
      <c r="AB571" s="187" t="str">
        <f t="shared" si="86"/>
        <v/>
      </c>
      <c r="AC571" s="338"/>
      <c r="AD571" s="339"/>
      <c r="AE571" s="340"/>
      <c r="AF571" s="311" t="str">
        <f t="shared" si="78"/>
        <v>Baja</v>
      </c>
      <c r="AG571" s="179">
        <f>IF(Y571=[18]Listas!$G$53,AG570-(AG570*AB571),AG570)</f>
        <v>0.216</v>
      </c>
      <c r="AH571" s="563"/>
      <c r="AI571" s="311" t="str">
        <f t="shared" si="85"/>
        <v>Mayor</v>
      </c>
      <c r="AJ571" s="179">
        <f>IF(Y571=[18]Listas!$G$55,AJ570-(AJ570*AB571),AJ570)</f>
        <v>0.8</v>
      </c>
      <c r="AK571" s="563"/>
      <c r="AL571" s="566"/>
      <c r="AM571" s="566"/>
      <c r="AN571" s="566"/>
      <c r="AO571" s="569"/>
      <c r="AP571" s="572"/>
      <c r="AQ571" s="341"/>
      <c r="AR571" s="188"/>
    </row>
    <row r="572" spans="2:44" ht="179.25" customHeight="1" thickTop="1" thickBot="1" x14ac:dyDescent="0.35">
      <c r="B572" s="537"/>
      <c r="C572" s="560"/>
      <c r="D572" s="573" t="s">
        <v>726</v>
      </c>
      <c r="E572" s="576" t="s">
        <v>5</v>
      </c>
      <c r="F572" s="624" t="s">
        <v>727</v>
      </c>
      <c r="G572" s="627" t="s">
        <v>710</v>
      </c>
      <c r="H572" s="627" t="s">
        <v>728</v>
      </c>
      <c r="I572" s="588" t="s">
        <v>20</v>
      </c>
      <c r="J572" s="621" t="s">
        <v>712</v>
      </c>
      <c r="K572" s="591" t="s">
        <v>729</v>
      </c>
      <c r="L572" s="588" t="s">
        <v>186</v>
      </c>
      <c r="M572" s="594" t="s">
        <v>214</v>
      </c>
      <c r="N572" s="597" t="str">
        <f>+IF(M572="","",IF(M572=$BO$15,$BN$15,IF(M572=$BO$16,$BN$16,IF(M572=$BO$17,$BN$17,IF(M572=$BO$18,$BN$18,IF(M572=$BO$19,$BN$19))))))</f>
        <v>Media</v>
      </c>
      <c r="O572" s="600">
        <f>+IF(M572="","",IF(M572=$BO$15,$BR$15,IF(M572=$BO$16,$BR$16,IF(M572=$BO$17,$BR$17,IF(M572=$BO$18,$BR$18,IF(M572=$BO$19,$BR$19))))))</f>
        <v>0.6</v>
      </c>
      <c r="P572" s="594" t="s">
        <v>212</v>
      </c>
      <c r="Q572" s="603" t="str">
        <f>+IF(P572="","",IF(P572='[18]Mapa de Calor inherente'!$AF$6,'[18]Mapa de Calor inherente'!$AD$6,IF(P572='[18]Mapa de Calor inherente'!$AF$7,'[18]Mapa de Calor inherente'!$AD$7,IF(P572='[18]Mapa de Calor inherente'!$AF$8,'[18]Mapa de Calor inherente'!$AD$8,IF(P572='[18]Mapa de Calor inherente'!$AF$9,'[18]Mapa de Calor inherente'!$AD$9,IF(P572='[18]Mapa de Calor inherente'!$AF$10,'[18]Mapa de Calor inherente'!$AD$10,IF(P572='[18]Mapa de Calor inherente'!$AG$6,'[18]Mapa de Calor inherente'!$AD$6,IF(P572='[18]Mapa de Calor inherente'!$AG$7,'[18]Mapa de Calor inherente'!$AD$7,IF(P572='[18]Mapa de Calor inherente'!$AG$8,'[18]Mapa de Calor inherente'!$AD$8,IF(P572='[18]Mapa de Calor inherente'!$AG$9,'[18]Mapa de Calor inherente'!$AD$9,IF(P572='[18]Mapa de Calor inherente'!$AG$10,'[18]Mapa de Calor inherente'!$AD$10,IF(P572='[18]Mapa de Calor inherente'!$AD$8,'[18]Mapa de Calor inherente'!$AD$8,IF(P572='[18]Mapa de Calor inherente'!$AD$9,'[18]Mapa de Calor inherente'!$AD$9,IF(P572='[18]Mapa de Calor inherente'!$AD$10,'[18]Mapa de Calor inherente'!$AD$10))))))))))))))</f>
        <v>Moderado</v>
      </c>
      <c r="R572" s="600">
        <f>+IF(P572="","",IF(P572='[18]Mapa de Calor inherente'!$AF$6,'[18]Mapa de Calor inherente'!$AE$6,IF(P572='[18]Mapa de Calor inherente'!$AF$7,'[18]Mapa de Calor inherente'!$AE$7,IF(P572='[18]Mapa de Calor inherente'!$AF$8,'[18]Mapa de Calor inherente'!$AE$8,IF(P572='[18]Mapa de Calor inherente'!$AF$9,'[18]Mapa de Calor inherente'!$AE$9,IF(P572='[18]Mapa de Calor inherente'!$AF$10,'[18]Mapa de Calor inherente'!$AE$10,IF(P572='[18]Mapa de Calor inherente'!$AG$6,'[18]Mapa de Calor inherente'!$AE$6,IF(P572='[18]Mapa de Calor inherente'!$AG$7,'[18]Mapa de Calor inherente'!$AE$7,IF(P572='[18]Mapa de Calor inherente'!$AG$8,'[18]Mapa de Calor inherente'!$AE$8,IF(P572='[18]Mapa de Calor inherente'!$AG$9,'[18]Mapa de Calor inherente'!$AE$9,IF(P572='[18]Mapa de Calor inherente'!$AG$10,'[18]Mapa de Calor inherente'!$AE$10,IF(P572='[18]Mapa de Calor inherente'!$AD$8,'[18]Mapa de Calor inherente'!$AE$8,IF(P572='[18]Mapa de Calor inherente'!$AD$9,'[18]Mapa de Calor inherente'!$AE$9,IF(P572='[18]Mapa de Calor inherente'!$AD$10,'[18]Mapa de Calor inherente'!$AE$10))))))))))))))</f>
        <v>0.6</v>
      </c>
      <c r="S572" s="292"/>
      <c r="T572" s="603" t="str">
        <f>+IF(N572=$BB$17,IF(Q572=$BC$16,$BC$17,IF(Q572=$BD$16,$BD$17,IF(Q572=$BE$16,$BE$17,IF(Q572=$BF$16,$BF$17,IF(Q572=$BG$16,$BG$17))))),IF(N572=$BB$18,IF(Q572=$BC$16,$BC$18,IF(Q572=$BD$16,$BD$18,IF(Q572=$BE$16,$BE$18,IF(Q572=$BF$16,$BF$18,IF(Q572=$BG$16,$BG$18))))),IF(N572=$BB$19,IF(Q572=$BC$16,$BC$19,IF(Q572=$BD$16,$BD$19,IF(Q572=$BE$16,$BE$19,IF(Q572=$BF$16,$BF$19,IF(Q572=$BG$16,$BG$19))))),IF(N572=$BB$20,IF(Q572=$BC$16,$BC$20,IF(Q572=$BD$16,$BD$20,IF(Q572=$BE$16,$BE$20,IF(Q572=$BF$16,$BF$20,IF(Q572=$BG$16,$BG$20))))),IF(N572=$BB$21,IF(Q572=$BC$16,$BC$21,IF(Q572=$BD$16,$BD$21,IF(Q572=$BE$16,$BE$21,IF(Q572=$BF$16,$BF$21,IF(Q572=$BG$16,$BG$21))))),"")))))</f>
        <v>Moderado</v>
      </c>
      <c r="U572" s="139" t="s">
        <v>171</v>
      </c>
      <c r="V572" s="487" t="s">
        <v>730</v>
      </c>
      <c r="W572" s="313" t="s">
        <v>40</v>
      </c>
      <c r="X572" s="314">
        <f>IF(W572=[18]Listas!$B$46,[18]Listas!$C$46,IF(W572=[18]Listas!$B$47,[18]Listas!$C$47,IF(W572=[18]Listas!$B$48,[18]Listas!$C$48,"")))</f>
        <v>0.25</v>
      </c>
      <c r="Y572" s="315" t="str">
        <f>IF(OR(W572=[18]Listas!$F$53,W572=[18]Listas!$F$54),[18]Listas!$G$53,IF(W572=[18]Listas!$F$55,[18]Listas!$G$55,""))</f>
        <v>Probabilidad</v>
      </c>
      <c r="Z572" s="313" t="s">
        <v>43</v>
      </c>
      <c r="AA572" s="314">
        <f>+IF(Z572=[18]Listas!$E$46,[18]Listas!$F$46,IF(Z572=[18]Listas!$E$47,[18]Listas!$F$47,""))</f>
        <v>0.15</v>
      </c>
      <c r="AB572" s="181">
        <f>IFERROR(X572+AA572,"")</f>
        <v>0.4</v>
      </c>
      <c r="AC572" s="313" t="s">
        <v>57</v>
      </c>
      <c r="AD572" s="313" t="s">
        <v>58</v>
      </c>
      <c r="AE572" s="317" t="s">
        <v>59</v>
      </c>
      <c r="AF572" s="299" t="str">
        <f t="shared" si="78"/>
        <v>Baja</v>
      </c>
      <c r="AG572" s="141">
        <f>IF(Y572=[18]Listas!$G$53,O572-(O572*AB572),O572)</f>
        <v>0.36</v>
      </c>
      <c r="AH572" s="561">
        <f>+IF(AG581="","",AG581)</f>
        <v>0.36</v>
      </c>
      <c r="AI572" s="299" t="str">
        <f>IF(AJ572="","",IF(AJ572&lt;=20%,"Leve",IF(AJ572&lt;=40%,"Menor",IF(AJ572&lt;=60%,"Moderado",IF(AJ572&lt;=80%,"Mayor","Catastrófico")))))</f>
        <v>Moderado</v>
      </c>
      <c r="AJ572" s="141">
        <f>IF(Y572=[18]Listas!$G$55,R572-(R572*AB572),R572)</f>
        <v>0.6</v>
      </c>
      <c r="AK572" s="561">
        <f>+IF(AJ581="","",AJ581)</f>
        <v>0.6</v>
      </c>
      <c r="AL572" s="564" t="str">
        <f>+IF(AH572=0,"",IF(AH572&lt;=$BA$21,$BB$21,IF(AH572&lt;=$BA$20,$BB$20,IF(AH572&lt;=$BA$19,$BB$19,IF(AH572&lt;=$BA$18,$BB$18,IF(AH572&lt;=$BA$17,$BB$17,""))))))</f>
        <v>Baja</v>
      </c>
      <c r="AM572" s="564" t="str">
        <f>+IF(AK572=0,"",IF(AK572&lt;=$BC$15,$BC$16,IF(AK572&lt;=$BD$15,$BD$16,IF(AK572&lt;=$BE$15,$BE$16,IF(AK572&lt;=$BF$15,$BF$16,IF(AK572&lt;=$BG$15,$BG$16,""))))))</f>
        <v>Moderado</v>
      </c>
      <c r="AN572" s="564" t="str">
        <f>IF(AL572=$BB$17,IF(AM572=$BC$16,$BC$17,IF(AM572=$BD$16,$BD$17,IF(AM572=$BE$16,$BE$17,IF(AM572=$BF$16,$BF$17,IF(AM572=$BG$16,$BG$17))))),IF(AL572=$BB$18,IF(AM572=$BC$16,$BC$18,IF(AM572=$BD$16,$BD$18,IF(AM572=$BE$16,$BE$18,IF(AM572=$BF$16,$BF$18,IF(AM572=$BG$16,$BG$18))))),IF(AL572=$BB$19,IF(AM572=$BC$16,$BC$19,IF(AM572=$BD$16,$BD$19,IF(AM572=$BE$16,$BE$19,IF(AM572=$BF$16,$BF$19,IF(AM572=$BG$16,$BG$19))))),IF(AL572=$BB$20,IF(AM572=$BC$16,$BC$20,IF(AM572=$BD$16,$BD$20,IF(AM572=$BE$16,$BE$20,IF(AM572=$BF$16,$BF$20,IF(AM572=$BG$16,$BG$20))))),IF(AL572=$BB$21,IF(AM572=$BC$16,$BC$21,IF(AM572=$BD$16,$BD$21,IF(AM572=$BE$16,$BE$21,IF(AM572=$BF$16,$BF$21,IF(AM572=$BG$16,$BG$21))))),"")))))</f>
        <v>Moderado</v>
      </c>
      <c r="AO572" s="567" t="str">
        <f>IF(AP572="","",IF(AP572=[18]Listas!$F$61,[18]Listas!$G$61,IF(AP572=[18]Listas!$F$63,[18]Listas!$G$63,IF(AP572=[18]Listas!$F$64,[18]Listas!$G$64))))</f>
        <v>Requiere Plan de Acción</v>
      </c>
      <c r="AP572" s="570" t="str">
        <f>IF(AN572="","",IF(OR(AN572=[18]Listas!$E$61,AN572=[18]Listas!$E$62),[18]Listas!$F$61,IF(AN572=[18]Listas!$E$63,[18]Listas!$F$63,IF(AN572=[18]Listas!$E$64,[18]Listas!$F$64))))</f>
        <v>Aceptar o reducir el riesgo</v>
      </c>
      <c r="AQ572" s="342" t="s">
        <v>80</v>
      </c>
      <c r="AR572" s="407" t="s">
        <v>715</v>
      </c>
    </row>
    <row r="573" spans="2:44" ht="15" hidden="1" thickTop="1" thickBot="1" x14ac:dyDescent="0.4">
      <c r="B573" s="537"/>
      <c r="C573" s="560"/>
      <c r="D573" s="574"/>
      <c r="E573" s="577"/>
      <c r="F573" s="625"/>
      <c r="G573" s="628"/>
      <c r="H573" s="628"/>
      <c r="I573" s="589"/>
      <c r="J573" s="622"/>
      <c r="K573" s="592"/>
      <c r="L573" s="589"/>
      <c r="M573" s="595"/>
      <c r="N573" s="598"/>
      <c r="O573" s="601"/>
      <c r="P573" s="595"/>
      <c r="Q573" s="604"/>
      <c r="R573" s="601"/>
      <c r="S573" s="286"/>
      <c r="T573" s="604"/>
      <c r="U573" s="142" t="s">
        <v>174</v>
      </c>
      <c r="V573" s="421"/>
      <c r="W573" s="331"/>
      <c r="X573" s="320" t="str">
        <f>IF(W573=[18]Listas!$B$46,[18]Listas!$C$46,IF(W573=[18]Listas!$B$47,[18]Listas!$C$47,IF(W573=[18]Listas!$B$48,[18]Listas!$C$48,"")))</f>
        <v/>
      </c>
      <c r="Y573" s="321" t="str">
        <f>IF(OR(W573=[18]Listas!$F$53,W573=[18]Listas!$F$54),[18]Listas!$G$53,IF(W573=[18]Listas!$F$55,[18]Listas!$G$55,""))</f>
        <v/>
      </c>
      <c r="Z573" s="331"/>
      <c r="AA573" s="182" t="str">
        <f>+IF(Z573=[18]Listas!$E$46,[18]Listas!$F$46,IF(Z573=[18]Listas!$E$47,[18]Listas!$F$47,""))</f>
        <v/>
      </c>
      <c r="AB573" s="183" t="str">
        <f>IFERROR(X573+AA573,"")</f>
        <v/>
      </c>
      <c r="AC573" s="319"/>
      <c r="AD573" s="319"/>
      <c r="AE573" s="323"/>
      <c r="AF573" s="305" t="str">
        <f t="shared" si="78"/>
        <v>Baja</v>
      </c>
      <c r="AG573" s="145">
        <f>IF(Y573=[18]Listas!$G$53,AG572-(AG572*AB573),AG572)</f>
        <v>0.36</v>
      </c>
      <c r="AH573" s="562"/>
      <c r="AI573" s="305" t="str">
        <f t="shared" si="85"/>
        <v>Moderado</v>
      </c>
      <c r="AJ573" s="145">
        <f>IF(Y573=[18]Listas!$G$55,AJ572-(AJ572*AB573),AJ572)</f>
        <v>0.6</v>
      </c>
      <c r="AK573" s="562"/>
      <c r="AL573" s="565"/>
      <c r="AM573" s="565"/>
      <c r="AN573" s="565"/>
      <c r="AO573" s="568"/>
      <c r="AP573" s="571"/>
      <c r="AQ573" s="343"/>
      <c r="AR573" s="191"/>
    </row>
    <row r="574" spans="2:44" ht="15" hidden="1" thickTop="1" thickBot="1" x14ac:dyDescent="0.4">
      <c r="B574" s="537"/>
      <c r="C574" s="560"/>
      <c r="D574" s="574"/>
      <c r="E574" s="577"/>
      <c r="F574" s="625"/>
      <c r="G574" s="628"/>
      <c r="H574" s="628"/>
      <c r="I574" s="589"/>
      <c r="J574" s="622"/>
      <c r="K574" s="592"/>
      <c r="L574" s="589"/>
      <c r="M574" s="595"/>
      <c r="N574" s="598"/>
      <c r="O574" s="601"/>
      <c r="P574" s="595"/>
      <c r="Q574" s="604"/>
      <c r="R574" s="601"/>
      <c r="S574" s="287"/>
      <c r="T574" s="604"/>
      <c r="U574" s="142" t="s">
        <v>180</v>
      </c>
      <c r="V574" s="415"/>
      <c r="W574" s="331"/>
      <c r="X574" s="320" t="str">
        <f>IF(W574=[18]Listas!$B$46,[18]Listas!$C$46,IF(W574=[18]Listas!$B$47,[18]Listas!$C$47,IF(W574=[18]Listas!$B$48,[18]Listas!$C$48,"")))</f>
        <v/>
      </c>
      <c r="Y574" s="321" t="str">
        <f>IF(OR(W574=[18]Listas!$F$53,W574=[18]Listas!$F$54),[18]Listas!$G$53,IF(W574=[18]Listas!$F$55,[18]Listas!$G$55,""))</f>
        <v/>
      </c>
      <c r="Z574" s="331"/>
      <c r="AA574" s="182" t="str">
        <f>+IF(Z574=[18]Listas!$E$46,[18]Listas!$F$46,IF(Z574=[18]Listas!$E$47,[18]Listas!$F$47,""))</f>
        <v/>
      </c>
      <c r="AB574" s="183" t="str">
        <f>IFERROR(X574+AA574,"")</f>
        <v/>
      </c>
      <c r="AC574" s="319"/>
      <c r="AD574" s="319"/>
      <c r="AE574" s="323"/>
      <c r="AF574" s="305" t="str">
        <f t="shared" si="78"/>
        <v>Baja</v>
      </c>
      <c r="AG574" s="145">
        <f>IF(Y574=[18]Listas!$G$53,AG573-(AG573*AB574),AG573)</f>
        <v>0.36</v>
      </c>
      <c r="AH574" s="562"/>
      <c r="AI574" s="305" t="str">
        <f t="shared" si="85"/>
        <v>Moderado</v>
      </c>
      <c r="AJ574" s="145">
        <f>IF(Y574=[18]Listas!$G$55,AJ573-(AJ573*AB574),AJ573)</f>
        <v>0.6</v>
      </c>
      <c r="AK574" s="562"/>
      <c r="AL574" s="565"/>
      <c r="AM574" s="565"/>
      <c r="AN574" s="565"/>
      <c r="AO574" s="568"/>
      <c r="AP574" s="571"/>
      <c r="AQ574" s="343"/>
      <c r="AR574" s="191"/>
    </row>
    <row r="575" spans="2:44" ht="15" hidden="1" thickTop="1" thickBot="1" x14ac:dyDescent="0.4">
      <c r="B575" s="537"/>
      <c r="C575" s="560"/>
      <c r="D575" s="574"/>
      <c r="E575" s="577"/>
      <c r="F575" s="625"/>
      <c r="G575" s="628"/>
      <c r="H575" s="628"/>
      <c r="I575" s="589"/>
      <c r="J575" s="622"/>
      <c r="K575" s="592"/>
      <c r="L575" s="589"/>
      <c r="M575" s="595"/>
      <c r="N575" s="598"/>
      <c r="O575" s="601"/>
      <c r="P575" s="595"/>
      <c r="Q575" s="604"/>
      <c r="R575" s="601"/>
      <c r="S575" s="287"/>
      <c r="T575" s="604"/>
      <c r="U575" s="142" t="s">
        <v>190</v>
      </c>
      <c r="V575" s="415"/>
      <c r="W575" s="331"/>
      <c r="X575" s="320" t="str">
        <f>IF(W575=[18]Listas!$B$46,[18]Listas!$C$46,IF(W575=[18]Listas!$B$47,[18]Listas!$C$47,IF(W575=[18]Listas!$B$48,[18]Listas!$C$48,"")))</f>
        <v/>
      </c>
      <c r="Y575" s="321" t="str">
        <f>IF(OR(W575=[18]Listas!$F$53,W575=[18]Listas!$F$54),[18]Listas!$G$53,IF(W575=[18]Listas!$F$55,[18]Listas!$G$55,""))</f>
        <v/>
      </c>
      <c r="Z575" s="331"/>
      <c r="AA575" s="182" t="str">
        <f>+IF(Z575=[18]Listas!$E$46,[18]Listas!$F$46,IF(Z575=[18]Listas!$E$47,[18]Listas!$F$47,""))</f>
        <v/>
      </c>
      <c r="AB575" s="183" t="str">
        <f t="shared" ref="AB575:AB581" si="87">IFERROR(X575+AA575,"")</f>
        <v/>
      </c>
      <c r="AC575" s="319"/>
      <c r="AD575" s="319"/>
      <c r="AE575" s="323"/>
      <c r="AF575" s="305" t="str">
        <f t="shared" si="78"/>
        <v>Baja</v>
      </c>
      <c r="AG575" s="145">
        <f>IF(Y575=[18]Listas!$G$53,AG574-(AG574*AB575),AG574)</f>
        <v>0.36</v>
      </c>
      <c r="AH575" s="562"/>
      <c r="AI575" s="305" t="str">
        <f t="shared" si="85"/>
        <v>Moderado</v>
      </c>
      <c r="AJ575" s="145">
        <f>IF(Y575=[18]Listas!$G$55,AJ574-(AJ574*AB575),AJ574)</f>
        <v>0.6</v>
      </c>
      <c r="AK575" s="562"/>
      <c r="AL575" s="565"/>
      <c r="AM575" s="565"/>
      <c r="AN575" s="565"/>
      <c r="AO575" s="568"/>
      <c r="AP575" s="571"/>
      <c r="AQ575" s="344"/>
      <c r="AR575" s="191"/>
    </row>
    <row r="576" spans="2:44" ht="15" hidden="1" thickTop="1" thickBot="1" x14ac:dyDescent="0.4">
      <c r="B576" s="537"/>
      <c r="C576" s="560"/>
      <c r="D576" s="574"/>
      <c r="E576" s="577"/>
      <c r="F576" s="625"/>
      <c r="G576" s="628"/>
      <c r="H576" s="628"/>
      <c r="I576" s="589"/>
      <c r="J576" s="622"/>
      <c r="K576" s="592"/>
      <c r="L576" s="589"/>
      <c r="M576" s="595"/>
      <c r="N576" s="598"/>
      <c r="O576" s="601"/>
      <c r="P576" s="595"/>
      <c r="Q576" s="604"/>
      <c r="R576" s="601"/>
      <c r="S576" s="287"/>
      <c r="T576" s="604"/>
      <c r="U576" s="142" t="s">
        <v>198</v>
      </c>
      <c r="V576" s="415"/>
      <c r="W576" s="331"/>
      <c r="X576" s="320" t="str">
        <f>IF(W576=[18]Listas!$B$46,[18]Listas!$C$46,IF(W576=[18]Listas!$B$47,[18]Listas!$C$47,IF(W576=[18]Listas!$B$48,[18]Listas!$C$48,"")))</f>
        <v/>
      </c>
      <c r="Y576" s="321" t="str">
        <f>IF(OR(W576=[18]Listas!$F$53,W576=[18]Listas!$F$54),[18]Listas!$G$53,IF(W576=[18]Listas!$F$55,[18]Listas!$G$55,""))</f>
        <v/>
      </c>
      <c r="Z576" s="331"/>
      <c r="AA576" s="182" t="str">
        <f>+IF(Z576=[18]Listas!$E$46,[18]Listas!$F$46,IF(Z576=[18]Listas!$E$47,[18]Listas!$F$47,""))</f>
        <v/>
      </c>
      <c r="AB576" s="183" t="str">
        <f t="shared" si="87"/>
        <v/>
      </c>
      <c r="AC576" s="319"/>
      <c r="AD576" s="319"/>
      <c r="AE576" s="323"/>
      <c r="AF576" s="305" t="str">
        <f t="shared" si="78"/>
        <v>Baja</v>
      </c>
      <c r="AG576" s="145">
        <f>IF(Y576=[18]Listas!$G$53,AG575-(AG575*AB576),AG575)</f>
        <v>0.36</v>
      </c>
      <c r="AH576" s="562"/>
      <c r="AI576" s="305" t="str">
        <f t="shared" si="85"/>
        <v>Moderado</v>
      </c>
      <c r="AJ576" s="145">
        <f>IF(Y576=[18]Listas!$G$55,AJ575-(AJ575*AB576),AJ575)</f>
        <v>0.6</v>
      </c>
      <c r="AK576" s="562"/>
      <c r="AL576" s="565"/>
      <c r="AM576" s="565"/>
      <c r="AN576" s="565"/>
      <c r="AO576" s="568"/>
      <c r="AP576" s="571"/>
      <c r="AQ576" s="343"/>
      <c r="AR576" s="191"/>
    </row>
    <row r="577" spans="2:44" ht="15" hidden="1" thickTop="1" thickBot="1" x14ac:dyDescent="0.4">
      <c r="B577" s="537"/>
      <c r="C577" s="560"/>
      <c r="D577" s="574"/>
      <c r="E577" s="577"/>
      <c r="F577" s="625"/>
      <c r="G577" s="628"/>
      <c r="H577" s="628"/>
      <c r="I577" s="589"/>
      <c r="J577" s="622"/>
      <c r="K577" s="592"/>
      <c r="L577" s="589"/>
      <c r="M577" s="595"/>
      <c r="N577" s="598"/>
      <c r="O577" s="601"/>
      <c r="P577" s="595"/>
      <c r="Q577" s="604"/>
      <c r="R577" s="601"/>
      <c r="S577" s="288"/>
      <c r="T577" s="604"/>
      <c r="U577" s="142" t="s">
        <v>208</v>
      </c>
      <c r="V577" s="415"/>
      <c r="W577" s="331"/>
      <c r="X577" s="320" t="str">
        <f>IF(W577=[18]Listas!$B$46,[18]Listas!$C$46,IF(W577=[18]Listas!$B$47,[18]Listas!$C$47,IF(W577=[18]Listas!$B$48,[18]Listas!$C$48,"")))</f>
        <v/>
      </c>
      <c r="Y577" s="321" t="str">
        <f>IF(OR(W577=[18]Listas!$F$53,W577=[18]Listas!$F$54),[18]Listas!$G$53,IF(W577=[18]Listas!$F$55,[18]Listas!$G$55,""))</f>
        <v/>
      </c>
      <c r="Z577" s="331"/>
      <c r="AA577" s="182" t="str">
        <f>+IF(Z577=[18]Listas!$E$46,[18]Listas!$F$46,IF(Z577=[18]Listas!$E$47,[18]Listas!$F$47,""))</f>
        <v/>
      </c>
      <c r="AB577" s="183" t="str">
        <f t="shared" si="87"/>
        <v/>
      </c>
      <c r="AC577" s="319"/>
      <c r="AD577" s="319"/>
      <c r="AE577" s="323"/>
      <c r="AF577" s="305" t="str">
        <f t="shared" si="78"/>
        <v>Baja</v>
      </c>
      <c r="AG577" s="145">
        <f>IF(Y577=[18]Listas!$G$53,AG576-(AG576*AB577),AG576)</f>
        <v>0.36</v>
      </c>
      <c r="AH577" s="562"/>
      <c r="AI577" s="305" t="str">
        <f t="shared" si="85"/>
        <v>Moderado</v>
      </c>
      <c r="AJ577" s="145">
        <f>IF(Y577=[18]Listas!$G$55,AJ576-(AJ576*AB577),AJ576)</f>
        <v>0.6</v>
      </c>
      <c r="AK577" s="562"/>
      <c r="AL577" s="565"/>
      <c r="AM577" s="565"/>
      <c r="AN577" s="565"/>
      <c r="AO577" s="568"/>
      <c r="AP577" s="571"/>
      <c r="AQ577" s="344"/>
      <c r="AR577" s="191"/>
    </row>
    <row r="578" spans="2:44" ht="15" hidden="1" customHeight="1" thickTop="1" thickBot="1" x14ac:dyDescent="0.4">
      <c r="B578" s="537"/>
      <c r="C578" s="560"/>
      <c r="D578" s="574"/>
      <c r="E578" s="577"/>
      <c r="F578" s="625"/>
      <c r="G578" s="628"/>
      <c r="H578" s="628"/>
      <c r="I578" s="589"/>
      <c r="J578" s="622"/>
      <c r="K578" s="592"/>
      <c r="L578" s="589"/>
      <c r="M578" s="595"/>
      <c r="N578" s="598"/>
      <c r="O578" s="601"/>
      <c r="P578" s="595"/>
      <c r="Q578" s="604"/>
      <c r="R578" s="601"/>
      <c r="S578" s="289"/>
      <c r="T578" s="604"/>
      <c r="U578" s="142" t="s">
        <v>215</v>
      </c>
      <c r="V578" s="418"/>
      <c r="W578" s="331"/>
      <c r="X578" s="320" t="str">
        <f>IF(W578=[18]Listas!$B$46,[18]Listas!$C$46,IF(W578=[18]Listas!$B$47,[18]Listas!$C$47,IF(W578=[18]Listas!$B$48,[18]Listas!$C$48,"")))</f>
        <v/>
      </c>
      <c r="Y578" s="321" t="str">
        <f>IF(OR(W578=[18]Listas!$F$53,W578=[18]Listas!$F$54),[18]Listas!$G$53,IF(W578=[18]Listas!$F$55,[18]Listas!$G$55,""))</f>
        <v/>
      </c>
      <c r="Z578" s="331"/>
      <c r="AA578" s="182" t="str">
        <f>+IF(Z578=[18]Listas!$E$46,[18]Listas!$F$46,IF(Z578=[18]Listas!$E$47,[18]Listas!$F$47,""))</f>
        <v/>
      </c>
      <c r="AB578" s="183" t="str">
        <f t="shared" si="87"/>
        <v/>
      </c>
      <c r="AC578" s="319"/>
      <c r="AD578" s="322"/>
      <c r="AE578" s="323"/>
      <c r="AF578" s="305" t="str">
        <f t="shared" si="78"/>
        <v>Baja</v>
      </c>
      <c r="AG578" s="145">
        <f>IF(Y578=[18]Listas!$G$53,AG577-(AG577*AB578),AG577)</f>
        <v>0.36</v>
      </c>
      <c r="AH578" s="562"/>
      <c r="AI578" s="305" t="str">
        <f t="shared" si="85"/>
        <v>Moderado</v>
      </c>
      <c r="AJ578" s="145">
        <f>IF(Y578=[18]Listas!$G$55,AJ577-(AJ577*AB578),AJ577)</f>
        <v>0.6</v>
      </c>
      <c r="AK578" s="562"/>
      <c r="AL578" s="565"/>
      <c r="AM578" s="565"/>
      <c r="AN578" s="565"/>
      <c r="AO578" s="568"/>
      <c r="AP578" s="571"/>
      <c r="AQ578" s="345"/>
      <c r="AR578" s="191"/>
    </row>
    <row r="579" spans="2:44" ht="15" hidden="1" customHeight="1" thickTop="1" thickBot="1" x14ac:dyDescent="0.4">
      <c r="B579" s="537"/>
      <c r="C579" s="560"/>
      <c r="D579" s="574"/>
      <c r="E579" s="577"/>
      <c r="F579" s="625"/>
      <c r="G579" s="628"/>
      <c r="H579" s="628"/>
      <c r="I579" s="589"/>
      <c r="J579" s="622"/>
      <c r="K579" s="592"/>
      <c r="L579" s="589"/>
      <c r="M579" s="595"/>
      <c r="N579" s="598"/>
      <c r="O579" s="601"/>
      <c r="P579" s="595"/>
      <c r="Q579" s="604"/>
      <c r="R579" s="601"/>
      <c r="S579" s="289"/>
      <c r="T579" s="604"/>
      <c r="U579" s="142" t="s">
        <v>220</v>
      </c>
      <c r="V579" s="418"/>
      <c r="W579" s="331"/>
      <c r="X579" s="320" t="str">
        <f>IF(W579=[18]Listas!$B$46,[18]Listas!$C$46,IF(W579=[18]Listas!$B$47,[18]Listas!$C$47,IF(W579=[18]Listas!$B$48,[18]Listas!$C$48,"")))</f>
        <v/>
      </c>
      <c r="Y579" s="321" t="str">
        <f>IF(OR(W579=[18]Listas!$F$53,W579=[18]Listas!$F$54),[18]Listas!$G$53,IF(W579=[18]Listas!$F$55,[18]Listas!$G$55,""))</f>
        <v/>
      </c>
      <c r="Z579" s="331"/>
      <c r="AA579" s="182" t="str">
        <f>+IF(Z579=[18]Listas!$E$46,[18]Listas!$F$46,IF(Z579=[18]Listas!$E$47,[18]Listas!$F$47,""))</f>
        <v/>
      </c>
      <c r="AB579" s="183" t="str">
        <f t="shared" si="87"/>
        <v/>
      </c>
      <c r="AC579" s="319"/>
      <c r="AD579" s="322"/>
      <c r="AE579" s="323"/>
      <c r="AF579" s="305" t="str">
        <f t="shared" si="78"/>
        <v>Baja</v>
      </c>
      <c r="AG579" s="145">
        <f>IF(Y579=[18]Listas!$G$53,AG578-(AG578*AB579),AG578)</f>
        <v>0.36</v>
      </c>
      <c r="AH579" s="562"/>
      <c r="AI579" s="305" t="str">
        <f t="shared" si="85"/>
        <v>Moderado</v>
      </c>
      <c r="AJ579" s="145">
        <f>IF(Y579=[18]Listas!$G$55,AJ578-(AJ578*AB579),AJ578)</f>
        <v>0.6</v>
      </c>
      <c r="AK579" s="562"/>
      <c r="AL579" s="565"/>
      <c r="AM579" s="565"/>
      <c r="AN579" s="565"/>
      <c r="AO579" s="568"/>
      <c r="AP579" s="571"/>
      <c r="AQ579" s="343"/>
      <c r="AR579" s="191"/>
    </row>
    <row r="580" spans="2:44" ht="15" hidden="1" customHeight="1" thickTop="1" thickBot="1" x14ac:dyDescent="0.4">
      <c r="B580" s="537"/>
      <c r="C580" s="560"/>
      <c r="D580" s="574"/>
      <c r="E580" s="577"/>
      <c r="F580" s="625"/>
      <c r="G580" s="628"/>
      <c r="H580" s="628"/>
      <c r="I580" s="589"/>
      <c r="J580" s="622"/>
      <c r="K580" s="592"/>
      <c r="L580" s="589"/>
      <c r="M580" s="595"/>
      <c r="N580" s="598"/>
      <c r="O580" s="601"/>
      <c r="P580" s="595"/>
      <c r="Q580" s="604"/>
      <c r="R580" s="601"/>
      <c r="S580" s="289"/>
      <c r="T580" s="604"/>
      <c r="U580" s="142" t="s">
        <v>223</v>
      </c>
      <c r="V580" s="418"/>
      <c r="W580" s="331"/>
      <c r="X580" s="320" t="str">
        <f>IF(W580=[18]Listas!$B$46,[18]Listas!$C$46,IF(W580=[18]Listas!$B$47,[18]Listas!$C$47,IF(W580=[18]Listas!$B$48,[18]Listas!$C$48,"")))</f>
        <v/>
      </c>
      <c r="Y580" s="321" t="str">
        <f>IF(OR(W580=[18]Listas!$F$53,W580=[18]Listas!$F$54),[18]Listas!$G$53,IF(W580=[18]Listas!$F$55,[18]Listas!$G$55,""))</f>
        <v/>
      </c>
      <c r="Z580" s="331"/>
      <c r="AA580" s="182" t="str">
        <f>+IF(Z580=[18]Listas!$E$46,[18]Listas!$F$46,IF(Z580=[18]Listas!$E$47,[18]Listas!$F$47,""))</f>
        <v/>
      </c>
      <c r="AB580" s="183" t="str">
        <f t="shared" si="87"/>
        <v/>
      </c>
      <c r="AC580" s="319"/>
      <c r="AD580" s="322"/>
      <c r="AE580" s="323"/>
      <c r="AF580" s="305" t="str">
        <f t="shared" si="78"/>
        <v>Baja</v>
      </c>
      <c r="AG580" s="145">
        <f>IF(Y580=[18]Listas!$G$53,AG579-(AG579*AB580),AG579)</f>
        <v>0.36</v>
      </c>
      <c r="AH580" s="562"/>
      <c r="AI580" s="305" t="str">
        <f t="shared" si="85"/>
        <v>Moderado</v>
      </c>
      <c r="AJ580" s="145">
        <f>IF(Y580=[18]Listas!$G$55,AJ579-(AJ579*AB580),AJ579)</f>
        <v>0.6</v>
      </c>
      <c r="AK580" s="562"/>
      <c r="AL580" s="565"/>
      <c r="AM580" s="565"/>
      <c r="AN580" s="565"/>
      <c r="AO580" s="568"/>
      <c r="AP580" s="571"/>
      <c r="AQ580" s="344"/>
      <c r="AR580" s="191"/>
    </row>
    <row r="581" spans="2:44" ht="15.75" hidden="1" customHeight="1" thickTop="1" thickBot="1" x14ac:dyDescent="0.4">
      <c r="B581" s="537"/>
      <c r="C581" s="560"/>
      <c r="D581" s="575"/>
      <c r="E581" s="578"/>
      <c r="F581" s="626"/>
      <c r="G581" s="629"/>
      <c r="H581" s="629"/>
      <c r="I581" s="590"/>
      <c r="J581" s="623"/>
      <c r="K581" s="593"/>
      <c r="L581" s="590"/>
      <c r="M581" s="596"/>
      <c r="N581" s="599"/>
      <c r="O581" s="602"/>
      <c r="P581" s="596"/>
      <c r="Q581" s="605"/>
      <c r="R581" s="602"/>
      <c r="S581" s="293"/>
      <c r="T581" s="605"/>
      <c r="U581" s="202" t="s">
        <v>224</v>
      </c>
      <c r="V581" s="416"/>
      <c r="W581" s="335"/>
      <c r="X581" s="336" t="str">
        <f>IF(W581=[18]Listas!$B$46,[18]Listas!$C$46,IF(W581=[18]Listas!$B$47,[18]Listas!$C$47,IF(W581=[18]Listas!$B$48,[18]Listas!$C$48,"")))</f>
        <v/>
      </c>
      <c r="Y581" s="337" t="str">
        <f>IF(OR(W581=[18]Listas!$F$53,W581=[18]Listas!$F$54),[18]Listas!$G$53,IF(W581=[18]Listas!$F$55,[18]Listas!$G$55,""))</f>
        <v/>
      </c>
      <c r="Z581" s="335"/>
      <c r="AA581" s="186" t="str">
        <f>+IF(Z581=[18]Listas!$E$46,[18]Listas!$F$46,IF(Z581=[18]Listas!$E$47,[18]Listas!$F$47,""))</f>
        <v/>
      </c>
      <c r="AB581" s="187" t="str">
        <f t="shared" si="87"/>
        <v/>
      </c>
      <c r="AC581" s="338"/>
      <c r="AD581" s="339"/>
      <c r="AE581" s="340"/>
      <c r="AF581" s="311" t="str">
        <f t="shared" si="78"/>
        <v>Baja</v>
      </c>
      <c r="AG581" s="179">
        <f>IF(Y581=[18]Listas!$G$53,AG580-(AG580*AB581),AG580)</f>
        <v>0.36</v>
      </c>
      <c r="AH581" s="563"/>
      <c r="AI581" s="311" t="str">
        <f t="shared" si="85"/>
        <v>Moderado</v>
      </c>
      <c r="AJ581" s="179">
        <f>IF(Y581=[18]Listas!$G$55,AJ580-(AJ580*AB581),AJ580)</f>
        <v>0.6</v>
      </c>
      <c r="AK581" s="563"/>
      <c r="AL581" s="566"/>
      <c r="AM581" s="566"/>
      <c r="AN581" s="566"/>
      <c r="AO581" s="569"/>
      <c r="AP581" s="572"/>
      <c r="AQ581" s="346"/>
      <c r="AR581" s="192"/>
    </row>
    <row r="582" spans="2:44" ht="39" customHeight="1" thickTop="1" thickBot="1" x14ac:dyDescent="0.4">
      <c r="B582" s="537" t="s">
        <v>731</v>
      </c>
      <c r="C582" s="560" t="s">
        <v>107</v>
      </c>
      <c r="D582" s="573" t="s">
        <v>732</v>
      </c>
      <c r="E582" s="576" t="s">
        <v>4</v>
      </c>
      <c r="F582" s="645" t="s">
        <v>733</v>
      </c>
      <c r="G582" s="662" t="s">
        <v>734</v>
      </c>
      <c r="H582" s="665" t="s">
        <v>735</v>
      </c>
      <c r="I582" s="588" t="s">
        <v>23</v>
      </c>
      <c r="J582" s="588" t="s">
        <v>29</v>
      </c>
      <c r="K582" s="591" t="s">
        <v>736</v>
      </c>
      <c r="L582" s="588" t="s">
        <v>168</v>
      </c>
      <c r="M582" s="594" t="s">
        <v>214</v>
      </c>
      <c r="N582" s="597" t="str">
        <f>+IF(M582="","",IF(M582=$BO$15,$BN$15,IF(M582=$BO$16,$BN$16,IF(M582=$BO$17,$BN$17,IF(M582=$BO$18,$BN$18,IF(M582=$BO$19,$BN$19))))))</f>
        <v>Media</v>
      </c>
      <c r="O582" s="600">
        <f>+IF(M582="","",IF(M582=$BO$15,$BR$15,IF(M582=$BO$16,$BR$16,IF(M582=$BO$17,$BR$17,IF(M582=$BO$18,$BR$18,IF(M582=$BO$19,$BR$19))))))</f>
        <v>0.6</v>
      </c>
      <c r="P582" s="594" t="s">
        <v>218</v>
      </c>
      <c r="Q582" s="603" t="str">
        <f>+IF(P582="","",IF(P582='[19]Mapa de Calor inherente'!$AF$6,'[19]Mapa de Calor inherente'!$AD$6,IF(P582='[19]Mapa de Calor inherente'!$AF$7,'[19]Mapa de Calor inherente'!$AD$7,IF(P582='[19]Mapa de Calor inherente'!$AF$8,'[19]Mapa de Calor inherente'!$AD$8,IF(P582='[19]Mapa de Calor inherente'!$AF$9,'[19]Mapa de Calor inherente'!$AD$9,IF(P582='[19]Mapa de Calor inherente'!$AF$10,'[19]Mapa de Calor inherente'!$AD$10,IF(P582='[19]Mapa de Calor inherente'!$AG$6,'[19]Mapa de Calor inherente'!$AD$6,IF(P582='[19]Mapa de Calor inherente'!$AG$7,'[19]Mapa de Calor inherente'!$AD$7,IF(P582='[19]Mapa de Calor inherente'!$AG$8,'[19]Mapa de Calor inherente'!$AD$8,IF(P582='[19]Mapa de Calor inherente'!$AG$9,'[19]Mapa de Calor inherente'!$AD$9,IF(P582='[19]Mapa de Calor inherente'!$AG$10,'[19]Mapa de Calor inherente'!$AD$10,IF(P582='[19]Mapa de Calor inherente'!$AD$8,'[19]Mapa de Calor inherente'!$AD$8,IF(P582='[19]Mapa de Calor inherente'!$AD$9,'[19]Mapa de Calor inherente'!$AD$9,IF(P582='[19]Mapa de Calor inherente'!$AD$10,'[19]Mapa de Calor inherente'!$AD$10))))))))))))))</f>
        <v>Mayor</v>
      </c>
      <c r="R582" s="600">
        <f>+IF(P582="","",IF(P582='[19]Mapa de Calor inherente'!$AF$6,'[19]Mapa de Calor inherente'!$AE$6,IF(P582='[19]Mapa de Calor inherente'!$AF$7,'[19]Mapa de Calor inherente'!$AE$7,IF(P582='[19]Mapa de Calor inherente'!$AF$8,'[19]Mapa de Calor inherente'!$AE$8,IF(P582='[19]Mapa de Calor inherente'!$AF$9,'[19]Mapa de Calor inherente'!$AE$9,IF(P582='[19]Mapa de Calor inherente'!$AF$10,'[19]Mapa de Calor inherente'!$AE$10,IF(P582='[19]Mapa de Calor inherente'!$AG$6,'[19]Mapa de Calor inherente'!$AE$6,IF(P582='[19]Mapa de Calor inherente'!$AG$7,'[19]Mapa de Calor inherente'!$AE$7,IF(P582='[19]Mapa de Calor inherente'!$AG$8,'[19]Mapa de Calor inherente'!$AE$8,IF(P582='[19]Mapa de Calor inherente'!$AG$9,'[19]Mapa de Calor inherente'!$AE$9,IF(P582='[19]Mapa de Calor inherente'!$AG$10,'[19]Mapa de Calor inherente'!$AE$10,IF(P582='[19]Mapa de Calor inherente'!$AD$8,'[19]Mapa de Calor inherente'!$AE$8,IF(P582='[19]Mapa de Calor inherente'!$AD$9,'[19]Mapa de Calor inherente'!$AE$9,IF(P582='[19]Mapa de Calor inherente'!$AD$10,'[19]Mapa de Calor inherente'!$AE$10))))))))))))))</f>
        <v>0.8</v>
      </c>
      <c r="S582" s="292"/>
      <c r="T582" s="606" t="str">
        <f>+IF(N582=$BB$17,IF(Q582=$BC$16,$BC$17,IF(Q582=$BD$16,$BD$17,IF(Q582=$BE$16,$BE$17,IF(Q582=$BF$16,$BF$17,IF(Q582=$BG$16,$BG$17))))),IF(N582=$BB$18,IF(Q582=$BC$16,$BC$18,IF(Q582=$BD$16,$BD$18,IF(Q582=$BE$16,$BE$18,IF(Q582=$BF$16,$BF$18,IF(Q582=$BG$16,$BG$18))))),IF(N582=$BB$19,IF(Q582=$BC$16,$BC$19,IF(Q582=$BD$16,$BD$19,IF(Q582=$BE$16,$BE$19,IF(Q582=$BF$16,$BF$19,IF(Q582=$BG$16,$BG$19))))),IF(N582=$BB$20,IF(Q582=$BC$16,$BC$20,IF(Q582=$BD$16,$BD$20,IF(Q582=$BE$16,$BE$20,IF(Q582=$BF$16,$BF$20,IF(Q582=$BG$16,$BG$20))))),IF(N582=$BB$21,IF(Q582=$BC$16,$BC$21,IF(Q582=$BD$16,$BD$21,IF(Q582=$BE$16,$BE$21,IF(Q582=$BF$16,$BF$21,IF(Q582=$BG$16,$BG$21))))),"")))))</f>
        <v>Alto</v>
      </c>
      <c r="U582" s="139" t="s">
        <v>171</v>
      </c>
      <c r="V582" s="488" t="s">
        <v>737</v>
      </c>
      <c r="W582" s="313" t="s">
        <v>40</v>
      </c>
      <c r="X582" s="314">
        <f>IF(W582=[19]Listas!$B$46,[19]Listas!$C$46,IF(W582=[19]Listas!$B$47,[19]Listas!$C$47,IF(W582=[19]Listas!$B$48,[19]Listas!$C$48,"")))</f>
        <v>0.25</v>
      </c>
      <c r="Y582" s="315" t="str">
        <f>IF(OR(W582=[19]Listas!$F$53,W582=[19]Listas!$F$54),[19]Listas!$G$53,IF(W582=[19]Listas!$F$55,[19]Listas!$G$55,""))</f>
        <v>Probabilidad</v>
      </c>
      <c r="Z582" s="313" t="s">
        <v>43</v>
      </c>
      <c r="AA582" s="314">
        <f>+IF(Z582=[19]Listas!$E$46,[19]Listas!$F$46,IF(Z582=[19]Listas!$E$47,[19]Listas!$F$47,""))</f>
        <v>0.15</v>
      </c>
      <c r="AB582" s="181">
        <f>IFERROR(X582+AA582,"")</f>
        <v>0.4</v>
      </c>
      <c r="AC582" s="313" t="s">
        <v>57</v>
      </c>
      <c r="AD582" s="316" t="s">
        <v>65</v>
      </c>
      <c r="AE582" s="317" t="s">
        <v>59</v>
      </c>
      <c r="AF582" s="299" t="str">
        <f t="shared" si="78"/>
        <v>Baja</v>
      </c>
      <c r="AG582" s="141">
        <f>IF(Y582=[19]Listas!$G$53,O582-(O582*AB582),O582)</f>
        <v>0.36</v>
      </c>
      <c r="AH582" s="561">
        <f>+IF(AG591="","",AG591)</f>
        <v>0.216</v>
      </c>
      <c r="AI582" s="299" t="str">
        <f>IF(AJ582="","",IF(AJ582&lt;=20%,"Leve",IF(AJ582&lt;=40%,"Menor",IF(AJ582&lt;=60%,"Moderado",IF(AJ582&lt;=80%,"Mayor","Catastrófico")))))</f>
        <v>Mayor</v>
      </c>
      <c r="AJ582" s="141">
        <f>IF(Y582=[19]Listas!$G$55,R582-(R582*AB582),R582)</f>
        <v>0.8</v>
      </c>
      <c r="AK582" s="561">
        <f>+IF(AJ591="","",AJ591)</f>
        <v>0.8</v>
      </c>
      <c r="AL582" s="564" t="str">
        <f>+IF(AH582=0,"",IF(AH582&lt;=$BA$21,$BB$21,IF(AH582&lt;=$BA$20,$BB$20,IF(AH582&lt;=$BA$19,$BB$19,IF(AH582&lt;=$BA$18,$BB$18,IF(AH582&lt;=$BA$17,$BB$17,""))))))</f>
        <v>Baja</v>
      </c>
      <c r="AM582" s="564" t="str">
        <f>+IF(AK582=0,"",IF(AK582&lt;=$BC$15,$BC$16,IF(AK582&lt;=$BD$15,$BD$16,IF(AK582&lt;=$BE$15,$BE$16,IF(AK582&lt;=$BF$15,$BF$16,IF(AK582&lt;=$BG$15,$BG$16,""))))))</f>
        <v>Mayor</v>
      </c>
      <c r="AN582" s="564" t="str">
        <f>IF(AL582=$BB$17,IF(AM582=$BC$16,$BC$17,IF(AM582=$BD$16,$BD$17,IF(AM582=$BE$16,$BE$17,IF(AM582=$BF$16,$BF$17,IF(AM582=$BG$16,$BG$17))))),IF(AL582=$BB$18,IF(AM582=$BC$16,$BC$18,IF(AM582=$BD$16,$BD$18,IF(AM582=$BE$16,$BE$18,IF(AM582=$BF$16,$BF$18,IF(AM582=$BG$16,$BG$18))))),IF(AL582=$BB$19,IF(AM582=$BC$16,$BC$19,IF(AM582=$BD$16,$BD$19,IF(AM582=$BE$16,$BE$19,IF(AM582=$BF$16,$BF$19,IF(AM582=$BG$16,$BG$19))))),IF(AL582=$BB$20,IF(AM582=$BC$16,$BC$20,IF(AM582=$BD$16,$BD$20,IF(AM582=$BE$16,$BE$20,IF(AM582=$BF$16,$BF$20,IF(AM582=$BG$16,$BG$20))))),IF(AL582=$BB$21,IF(AM582=$BC$16,$BC$21,IF(AM582=$BD$16,$BD$21,IF(AM582=$BE$16,$BE$21,IF(AM582=$BF$16,$BF$21,IF(AM582=$BG$16,$BG$21))))),"")))))</f>
        <v>Alto</v>
      </c>
      <c r="AO582" s="567" t="str">
        <f>IF(AP582="","",IF(AP582=[19]Listas!$F$61,[19]Listas!$G$61,IF(AP582=[19]Listas!$F$63,[19]Listas!$G$63,IF(AP582=[19]Listas!$F$64,[19]Listas!$G$64))))</f>
        <v>Requiere Plan de Acción</v>
      </c>
      <c r="AP582" s="570" t="str">
        <f>IF(AN582="","",IF(OR(AN582=[19]Listas!$E$61,AN582=[19]Listas!$E$62),[19]Listas!$F$61,IF(AN582=[19]Listas!$E$63,[19]Listas!$F$63,IF(AN582=[19]Listas!$E$64,[19]Listas!$F$64))))</f>
        <v>Reducir, evitar, compartir o transferir el riesgo</v>
      </c>
      <c r="AQ582" s="318" t="s">
        <v>82</v>
      </c>
      <c r="AR582" s="247" t="s">
        <v>738</v>
      </c>
    </row>
    <row r="583" spans="2:44" ht="138" customHeight="1" thickTop="1" thickBot="1" x14ac:dyDescent="0.4">
      <c r="B583" s="537"/>
      <c r="C583" s="560"/>
      <c r="D583" s="574"/>
      <c r="E583" s="577"/>
      <c r="F583" s="646"/>
      <c r="G583" s="663"/>
      <c r="H583" s="666"/>
      <c r="I583" s="589"/>
      <c r="J583" s="589"/>
      <c r="K583" s="592"/>
      <c r="L583" s="589"/>
      <c r="M583" s="595"/>
      <c r="N583" s="598"/>
      <c r="O583" s="601"/>
      <c r="P583" s="595"/>
      <c r="Q583" s="604"/>
      <c r="R583" s="601"/>
      <c r="S583" s="286"/>
      <c r="T583" s="607"/>
      <c r="U583" s="142" t="s">
        <v>174</v>
      </c>
      <c r="V583" s="467" t="s">
        <v>739</v>
      </c>
      <c r="W583" s="319" t="s">
        <v>40</v>
      </c>
      <c r="X583" s="320">
        <f>IF(W583=[19]Listas!$B$46,[19]Listas!$C$46,IF(W583=[19]Listas!$B$47,[19]Listas!$C$47,IF(W583=[19]Listas!$B$48,[19]Listas!$C$48,"")))</f>
        <v>0.25</v>
      </c>
      <c r="Y583" s="321" t="str">
        <f>IF(OR(W583=[19]Listas!$F$53,W583=[19]Listas!$F$54),[19]Listas!$G$53,IF(W583=[19]Listas!$F$55,[19]Listas!$G$55,""))</f>
        <v>Probabilidad</v>
      </c>
      <c r="Z583" s="319" t="s">
        <v>43</v>
      </c>
      <c r="AA583" s="182">
        <f>+IF(Z583=[19]Listas!$E$46,[19]Listas!$F$46,IF(Z583=[19]Listas!$E$47,[19]Listas!$F$47,""))</f>
        <v>0.15</v>
      </c>
      <c r="AB583" s="183">
        <f>IFERROR(X583+AA583,"")</f>
        <v>0.4</v>
      </c>
      <c r="AC583" s="319" t="s">
        <v>57</v>
      </c>
      <c r="AD583" s="322" t="s">
        <v>65</v>
      </c>
      <c r="AE583" s="323" t="s">
        <v>59</v>
      </c>
      <c r="AF583" s="305" t="str">
        <f t="shared" si="78"/>
        <v>Baja</v>
      </c>
      <c r="AG583" s="145">
        <f>IF(Y583=[19]Listas!$G$53,AG582-(AG582*AB583),AG582)</f>
        <v>0.216</v>
      </c>
      <c r="AH583" s="562"/>
      <c r="AI583" s="305" t="str">
        <f t="shared" ref="AI583:AI611" si="88">IF(AJ583="","",IF(AJ583&lt;=20%,"Leve",IF(AJ583&lt;=40%,"Menor",IF(AJ583&lt;=60%,"Moderado",IF(AJ583&lt;=80%,"Mayor","Catastrófico")))))</f>
        <v>Mayor</v>
      </c>
      <c r="AJ583" s="145">
        <f>IF(Y583=[19]Listas!$G$55,AJ582-(AJ582*AB583),AJ582)</f>
        <v>0.8</v>
      </c>
      <c r="AK583" s="562"/>
      <c r="AL583" s="565"/>
      <c r="AM583" s="565"/>
      <c r="AN583" s="565"/>
      <c r="AO583" s="568"/>
      <c r="AP583" s="571"/>
      <c r="AQ583" s="324"/>
      <c r="AR583" s="197"/>
    </row>
    <row r="584" spans="2:44" ht="73" hidden="1" customHeight="1" thickBot="1" x14ac:dyDescent="0.4">
      <c r="B584" s="537"/>
      <c r="C584" s="560"/>
      <c r="D584" s="574"/>
      <c r="E584" s="577"/>
      <c r="F584" s="646"/>
      <c r="G584" s="663"/>
      <c r="H584" s="666"/>
      <c r="I584" s="589"/>
      <c r="J584" s="589"/>
      <c r="K584" s="592"/>
      <c r="L584" s="589"/>
      <c r="M584" s="595"/>
      <c r="N584" s="598"/>
      <c r="O584" s="601"/>
      <c r="P584" s="595"/>
      <c r="Q584" s="604"/>
      <c r="R584" s="601"/>
      <c r="S584" s="287"/>
      <c r="T584" s="607"/>
      <c r="U584" s="142" t="s">
        <v>180</v>
      </c>
      <c r="V584" s="415"/>
      <c r="W584" s="319"/>
      <c r="X584" s="320" t="str">
        <f>IF(W584=[19]Listas!$B$46,[19]Listas!$C$46,IF(W584=[19]Listas!$B$47,[19]Listas!$C$47,IF(W584=[19]Listas!$B$48,[19]Listas!$C$48,"")))</f>
        <v/>
      </c>
      <c r="Y584" s="321" t="str">
        <f>IF(OR(W584=[19]Listas!$F$53,W584=[19]Listas!$F$54),[19]Listas!$G$53,IF(W584=[19]Listas!$F$55,[19]Listas!$G$55,""))</f>
        <v/>
      </c>
      <c r="Z584" s="319"/>
      <c r="AA584" s="182" t="str">
        <f>+IF(Z584=[19]Listas!$E$46,[19]Listas!$F$46,IF(Z584=[19]Listas!$E$47,[19]Listas!$F$47,""))</f>
        <v/>
      </c>
      <c r="AB584" s="183" t="str">
        <f>IFERROR(X584+AA584,"")</f>
        <v/>
      </c>
      <c r="AC584" s="325"/>
      <c r="AD584" s="326"/>
      <c r="AE584" s="327"/>
      <c r="AF584" s="305" t="str">
        <f t="shared" si="78"/>
        <v>Baja</v>
      </c>
      <c r="AG584" s="145">
        <f>IF(Y584=[19]Listas!$G$53,AG583-(AG583*AB584),AG583)</f>
        <v>0.216</v>
      </c>
      <c r="AH584" s="562"/>
      <c r="AI584" s="305" t="str">
        <f t="shared" si="88"/>
        <v>Mayor</v>
      </c>
      <c r="AJ584" s="145">
        <f>IF(Y584=[19]Listas!$G$55,AJ583-(AJ583*AB584),AJ583)</f>
        <v>0.8</v>
      </c>
      <c r="AK584" s="562"/>
      <c r="AL584" s="565"/>
      <c r="AM584" s="565"/>
      <c r="AN584" s="565"/>
      <c r="AO584" s="568"/>
      <c r="AP584" s="571"/>
      <c r="AQ584" s="324"/>
      <c r="AR584" s="184"/>
    </row>
    <row r="585" spans="2:44" ht="15" hidden="1" customHeight="1" thickBot="1" x14ac:dyDescent="0.4">
      <c r="B585" s="537"/>
      <c r="C585" s="560"/>
      <c r="D585" s="574"/>
      <c r="E585" s="577"/>
      <c r="F585" s="646"/>
      <c r="G585" s="663"/>
      <c r="H585" s="666"/>
      <c r="I585" s="589"/>
      <c r="J585" s="589"/>
      <c r="K585" s="592"/>
      <c r="L585" s="589"/>
      <c r="M585" s="595"/>
      <c r="N585" s="598"/>
      <c r="O585" s="601"/>
      <c r="P585" s="595"/>
      <c r="Q585" s="604"/>
      <c r="R585" s="601"/>
      <c r="S585" s="287"/>
      <c r="T585" s="607"/>
      <c r="U585" s="142" t="s">
        <v>190</v>
      </c>
      <c r="V585" s="415"/>
      <c r="W585" s="319"/>
      <c r="X585" s="320" t="str">
        <f>IF(W585=[19]Listas!$B$46,[19]Listas!$C$46,IF(W585=[19]Listas!$B$47,[19]Listas!$C$47,IF(W585=[19]Listas!$B$48,[19]Listas!$C$48,"")))</f>
        <v/>
      </c>
      <c r="Y585" s="321" t="str">
        <f>IF(OR(W585=[19]Listas!$F$53,W585=[19]Listas!$F$54),[19]Listas!$G$53,IF(W585=[19]Listas!$F$55,[19]Listas!$G$55,""))</f>
        <v/>
      </c>
      <c r="Z585" s="319"/>
      <c r="AA585" s="182" t="str">
        <f>+IF(Z585=[19]Listas!$E$46,[19]Listas!$F$46,IF(Z585=[19]Listas!$E$47,[19]Listas!$F$47,""))</f>
        <v/>
      </c>
      <c r="AB585" s="183" t="str">
        <f t="shared" ref="AB585:AB591" si="89">IFERROR(X585+AA585,"")</f>
        <v/>
      </c>
      <c r="AC585" s="328"/>
      <c r="AD585" s="329"/>
      <c r="AE585" s="330"/>
      <c r="AF585" s="305" t="str">
        <f t="shared" si="78"/>
        <v>Baja</v>
      </c>
      <c r="AG585" s="145">
        <f>IF(Y585=[19]Listas!$G$53,AG584-(AG584*AB585),AG584)</f>
        <v>0.216</v>
      </c>
      <c r="AH585" s="562"/>
      <c r="AI585" s="305" t="str">
        <f t="shared" si="88"/>
        <v>Mayor</v>
      </c>
      <c r="AJ585" s="145">
        <f>IF(Y585=[19]Listas!$G$55,AJ584-(AJ584*AB585),AJ584)</f>
        <v>0.8</v>
      </c>
      <c r="AK585" s="562"/>
      <c r="AL585" s="565"/>
      <c r="AM585" s="565"/>
      <c r="AN585" s="565"/>
      <c r="AO585" s="568"/>
      <c r="AP585" s="571"/>
      <c r="AQ585" s="324"/>
      <c r="AR585" s="185"/>
    </row>
    <row r="586" spans="2:44" ht="15" hidden="1" customHeight="1" thickTop="1" x14ac:dyDescent="0.35">
      <c r="B586" s="537"/>
      <c r="C586" s="560"/>
      <c r="D586" s="574"/>
      <c r="E586" s="577"/>
      <c r="F586" s="646"/>
      <c r="G586" s="663"/>
      <c r="H586" s="666"/>
      <c r="I586" s="589"/>
      <c r="J586" s="589"/>
      <c r="K586" s="592"/>
      <c r="L586" s="589"/>
      <c r="M586" s="595"/>
      <c r="N586" s="598"/>
      <c r="O586" s="601"/>
      <c r="P586" s="595"/>
      <c r="Q586" s="604"/>
      <c r="R586" s="601"/>
      <c r="S586" s="287"/>
      <c r="T586" s="607"/>
      <c r="U586" s="142" t="s">
        <v>198</v>
      </c>
      <c r="V586" s="415"/>
      <c r="W586" s="331"/>
      <c r="X586" s="320" t="str">
        <f>IF(W586=[19]Listas!$B$46,[19]Listas!$C$46,IF(W586=[19]Listas!$B$47,[19]Listas!$C$47,IF(W586=[19]Listas!$B$48,[19]Listas!$C$48,"")))</f>
        <v/>
      </c>
      <c r="Y586" s="321" t="str">
        <f>IF(OR(W586=[19]Listas!$F$53,W586=[19]Listas!$F$54),[19]Listas!$G$53,IF(W586=[19]Listas!$F$55,[19]Listas!$G$55,""))</f>
        <v/>
      </c>
      <c r="Z586" s="331"/>
      <c r="AA586" s="182" t="str">
        <f>+IF(Z586=[19]Listas!$E$46,[19]Listas!$F$46,IF(Z586=[19]Listas!$E$47,[19]Listas!$F$47,""))</f>
        <v/>
      </c>
      <c r="AB586" s="183" t="str">
        <f t="shared" si="89"/>
        <v/>
      </c>
      <c r="AC586" s="319"/>
      <c r="AD586" s="322"/>
      <c r="AE586" s="323"/>
      <c r="AF586" s="305" t="str">
        <f t="shared" si="78"/>
        <v>Baja</v>
      </c>
      <c r="AG586" s="145">
        <f>IF(Y586=[19]Listas!$G$53,AG585-(AG585*AB586),AG585)</f>
        <v>0.216</v>
      </c>
      <c r="AH586" s="562"/>
      <c r="AI586" s="305" t="str">
        <f t="shared" si="88"/>
        <v>Mayor</v>
      </c>
      <c r="AJ586" s="145">
        <f>IF(Y586=[19]Listas!$G$55,AJ585-(AJ585*AB586),AJ585)</f>
        <v>0.8</v>
      </c>
      <c r="AK586" s="562"/>
      <c r="AL586" s="565"/>
      <c r="AM586" s="565"/>
      <c r="AN586" s="565"/>
      <c r="AO586" s="568"/>
      <c r="AP586" s="571"/>
      <c r="AQ586" s="324"/>
      <c r="AR586" s="185"/>
    </row>
    <row r="587" spans="2:44" ht="15.75" hidden="1" customHeight="1" thickTop="1" x14ac:dyDescent="0.35">
      <c r="B587" s="537"/>
      <c r="C587" s="560"/>
      <c r="D587" s="574"/>
      <c r="E587" s="577"/>
      <c r="F587" s="646"/>
      <c r="G587" s="663"/>
      <c r="H587" s="666"/>
      <c r="I587" s="589"/>
      <c r="J587" s="589"/>
      <c r="K587" s="592"/>
      <c r="L587" s="589"/>
      <c r="M587" s="595"/>
      <c r="N587" s="598"/>
      <c r="O587" s="601"/>
      <c r="P587" s="595"/>
      <c r="Q587" s="604"/>
      <c r="R587" s="601"/>
      <c r="S587" s="288"/>
      <c r="T587" s="607"/>
      <c r="U587" s="142" t="s">
        <v>208</v>
      </c>
      <c r="V587" s="415"/>
      <c r="W587" s="331"/>
      <c r="X587" s="320" t="str">
        <f>IF(W587=[19]Listas!$B$46,[19]Listas!$C$46,IF(W587=[19]Listas!$B$47,[19]Listas!$C$47,IF(W587=[19]Listas!$B$48,[19]Listas!$C$48,"")))</f>
        <v/>
      </c>
      <c r="Y587" s="321" t="str">
        <f>IF(OR(W587=[19]Listas!$F$53,W587=[19]Listas!$F$54),[19]Listas!$G$53,IF(W587=[19]Listas!$F$55,[19]Listas!$G$55,""))</f>
        <v/>
      </c>
      <c r="Z587" s="331"/>
      <c r="AA587" s="182" t="str">
        <f>+IF(Z587=[19]Listas!$E$46,[19]Listas!$F$46,IF(Z587=[19]Listas!$E$47,[19]Listas!$F$47,""))</f>
        <v/>
      </c>
      <c r="AB587" s="183" t="str">
        <f t="shared" si="89"/>
        <v/>
      </c>
      <c r="AC587" s="319"/>
      <c r="AD587" s="322"/>
      <c r="AE587" s="323"/>
      <c r="AF587" s="305" t="str">
        <f t="shared" si="78"/>
        <v>Baja</v>
      </c>
      <c r="AG587" s="145">
        <f>IF(Y587=[19]Listas!$G$53,AG586-(AG586*AB587),AG586)</f>
        <v>0.216</v>
      </c>
      <c r="AH587" s="562"/>
      <c r="AI587" s="305" t="str">
        <f t="shared" si="88"/>
        <v>Mayor</v>
      </c>
      <c r="AJ587" s="145">
        <f>IF(Y587=[19]Listas!$G$55,AJ586-(AJ586*AB587),AJ586)</f>
        <v>0.8</v>
      </c>
      <c r="AK587" s="562"/>
      <c r="AL587" s="565"/>
      <c r="AM587" s="565"/>
      <c r="AN587" s="565"/>
      <c r="AO587" s="568"/>
      <c r="AP587" s="571"/>
      <c r="AQ587" s="332"/>
      <c r="AR587" s="185"/>
    </row>
    <row r="588" spans="2:44" ht="15" hidden="1" customHeight="1" thickTop="1" x14ac:dyDescent="0.35">
      <c r="B588" s="537"/>
      <c r="C588" s="560"/>
      <c r="D588" s="574"/>
      <c r="E588" s="577"/>
      <c r="F588" s="646"/>
      <c r="G588" s="663"/>
      <c r="H588" s="666"/>
      <c r="I588" s="589"/>
      <c r="J588" s="589"/>
      <c r="K588" s="592"/>
      <c r="L588" s="589"/>
      <c r="M588" s="595"/>
      <c r="N588" s="598"/>
      <c r="O588" s="601"/>
      <c r="P588" s="595"/>
      <c r="Q588" s="604"/>
      <c r="R588" s="601"/>
      <c r="S588" s="289"/>
      <c r="T588" s="607"/>
      <c r="U588" s="142" t="s">
        <v>215</v>
      </c>
      <c r="V588" s="415"/>
      <c r="W588" s="331"/>
      <c r="X588" s="320" t="str">
        <f>IF(W588=[19]Listas!$B$46,[19]Listas!$C$46,IF(W588=[19]Listas!$B$47,[19]Listas!$C$47,IF(W588=[19]Listas!$B$48,[19]Listas!$C$48,"")))</f>
        <v/>
      </c>
      <c r="Y588" s="321" t="str">
        <f>IF(OR(W588=[19]Listas!$F$53,W588=[19]Listas!$F$54),[19]Listas!$G$53,IF(W588=[19]Listas!$F$55,[19]Listas!$G$55,""))</f>
        <v/>
      </c>
      <c r="Z588" s="331"/>
      <c r="AA588" s="182" t="str">
        <f>+IF(Z588=[19]Listas!$E$46,[19]Listas!$F$46,IF(Z588=[19]Listas!$E$47,[19]Listas!$F$47,""))</f>
        <v/>
      </c>
      <c r="AB588" s="183" t="str">
        <f t="shared" si="89"/>
        <v/>
      </c>
      <c r="AC588" s="319"/>
      <c r="AD588" s="322"/>
      <c r="AE588" s="323"/>
      <c r="AF588" s="305" t="str">
        <f t="shared" ref="AF588:AF651" si="90">IF(AG588="","",IF(AG588&lt;=20%,"Muy baja",IF(AG588&lt;=40%,"Baja",IF(AG588&lt;=60%,"Media",IF(AG588&lt;=80%,"Alta","Muy alta")))))</f>
        <v>Baja</v>
      </c>
      <c r="AG588" s="145">
        <f>IF(Y588=[19]Listas!$G$53,AG587-(AG587*AB588),AG587)</f>
        <v>0.216</v>
      </c>
      <c r="AH588" s="562"/>
      <c r="AI588" s="305" t="str">
        <f t="shared" si="88"/>
        <v>Mayor</v>
      </c>
      <c r="AJ588" s="145">
        <f>IF(Y588=[19]Listas!$G$55,AJ587-(AJ587*AB588),AJ587)</f>
        <v>0.8</v>
      </c>
      <c r="AK588" s="562"/>
      <c r="AL588" s="565"/>
      <c r="AM588" s="565"/>
      <c r="AN588" s="565"/>
      <c r="AO588" s="568"/>
      <c r="AP588" s="571"/>
      <c r="AQ588" s="333"/>
      <c r="AR588" s="185"/>
    </row>
    <row r="589" spans="2:44" ht="15" hidden="1" customHeight="1" thickTop="1" x14ac:dyDescent="0.35">
      <c r="B589" s="537"/>
      <c r="C589" s="560"/>
      <c r="D589" s="574"/>
      <c r="E589" s="577"/>
      <c r="F589" s="646"/>
      <c r="G589" s="663"/>
      <c r="H589" s="666"/>
      <c r="I589" s="589"/>
      <c r="J589" s="589"/>
      <c r="K589" s="592"/>
      <c r="L589" s="589"/>
      <c r="M589" s="595"/>
      <c r="N589" s="598"/>
      <c r="O589" s="601"/>
      <c r="P589" s="595"/>
      <c r="Q589" s="604"/>
      <c r="R589" s="601"/>
      <c r="S589" s="289"/>
      <c r="T589" s="607"/>
      <c r="U589" s="142" t="s">
        <v>220</v>
      </c>
      <c r="V589" s="415"/>
      <c r="W589" s="331"/>
      <c r="X589" s="320" t="str">
        <f>IF(W589=[19]Listas!$B$46,[19]Listas!$C$46,IF(W589=[19]Listas!$B$47,[19]Listas!$C$47,IF(W589=[19]Listas!$B$48,[19]Listas!$C$48,"")))</f>
        <v/>
      </c>
      <c r="Y589" s="321" t="str">
        <f>IF(OR(W589=[19]Listas!$F$53,W589=[19]Listas!$F$54),[19]Listas!$G$53,IF(W589=[19]Listas!$F$55,[19]Listas!$G$55,""))</f>
        <v/>
      </c>
      <c r="Z589" s="331"/>
      <c r="AA589" s="182" t="str">
        <f>+IF(Z589=[19]Listas!$E$46,[19]Listas!$F$46,IF(Z589=[19]Listas!$E$47,[19]Listas!$F$47,""))</f>
        <v/>
      </c>
      <c r="AB589" s="183" t="str">
        <f t="shared" si="89"/>
        <v/>
      </c>
      <c r="AC589" s="319"/>
      <c r="AD589" s="322"/>
      <c r="AE589" s="323"/>
      <c r="AF589" s="305" t="str">
        <f t="shared" si="90"/>
        <v>Baja</v>
      </c>
      <c r="AG589" s="145">
        <f>IF(Y589=[19]Listas!$G$53,AG588-(AG588*AB589),AG588)</f>
        <v>0.216</v>
      </c>
      <c r="AH589" s="562"/>
      <c r="AI589" s="305" t="str">
        <f t="shared" si="88"/>
        <v>Mayor</v>
      </c>
      <c r="AJ589" s="145">
        <f>IF(Y589=[19]Listas!$G$55,AJ588-(AJ588*AB589),AJ588)</f>
        <v>0.8</v>
      </c>
      <c r="AK589" s="562"/>
      <c r="AL589" s="565"/>
      <c r="AM589" s="565"/>
      <c r="AN589" s="565"/>
      <c r="AO589" s="568"/>
      <c r="AP589" s="571"/>
      <c r="AQ589" s="334"/>
      <c r="AR589" s="185"/>
    </row>
    <row r="590" spans="2:44" ht="15" hidden="1" customHeight="1" thickTop="1" x14ac:dyDescent="0.35">
      <c r="B590" s="537"/>
      <c r="C590" s="560"/>
      <c r="D590" s="574"/>
      <c r="E590" s="577"/>
      <c r="F590" s="646"/>
      <c r="G590" s="663"/>
      <c r="H590" s="666"/>
      <c r="I590" s="589"/>
      <c r="J590" s="589"/>
      <c r="K590" s="592"/>
      <c r="L590" s="589"/>
      <c r="M590" s="595"/>
      <c r="N590" s="598"/>
      <c r="O590" s="601"/>
      <c r="P590" s="595"/>
      <c r="Q590" s="604"/>
      <c r="R590" s="601"/>
      <c r="S590" s="289"/>
      <c r="T590" s="607"/>
      <c r="U590" s="142" t="s">
        <v>223</v>
      </c>
      <c r="V590" s="415"/>
      <c r="W590" s="331"/>
      <c r="X590" s="320" t="str">
        <f>IF(W590=[19]Listas!$B$46,[19]Listas!$C$46,IF(W590=[19]Listas!$B$47,[19]Listas!$C$47,IF(W590=[19]Listas!$B$48,[19]Listas!$C$48,"")))</f>
        <v/>
      </c>
      <c r="Y590" s="321" t="str">
        <f>IF(OR(W590=[19]Listas!$F$53,W590=[19]Listas!$F$54),[19]Listas!$G$53,IF(W590=[19]Listas!$F$55,[19]Listas!$G$55,""))</f>
        <v/>
      </c>
      <c r="Z590" s="331"/>
      <c r="AA590" s="182" t="str">
        <f>+IF(Z590=[19]Listas!$E$46,[19]Listas!$F$46,IF(Z590=[19]Listas!$E$47,[19]Listas!$F$47,""))</f>
        <v/>
      </c>
      <c r="AB590" s="183" t="str">
        <f t="shared" si="89"/>
        <v/>
      </c>
      <c r="AC590" s="319"/>
      <c r="AD590" s="322"/>
      <c r="AE590" s="323"/>
      <c r="AF590" s="305" t="str">
        <f t="shared" si="90"/>
        <v>Baja</v>
      </c>
      <c r="AG590" s="145">
        <f>IF(Y590=[19]Listas!$G$53,AG589-(AG589*AB590),AG589)</f>
        <v>0.216</v>
      </c>
      <c r="AH590" s="562"/>
      <c r="AI590" s="305" t="str">
        <f t="shared" si="88"/>
        <v>Mayor</v>
      </c>
      <c r="AJ590" s="145">
        <f>IF(Y590=[19]Listas!$G$55,AJ589-(AJ589*AB590),AJ589)</f>
        <v>0.8</v>
      </c>
      <c r="AK590" s="562"/>
      <c r="AL590" s="565"/>
      <c r="AM590" s="565"/>
      <c r="AN590" s="565"/>
      <c r="AO590" s="568"/>
      <c r="AP590" s="571"/>
      <c r="AQ590" s="324"/>
      <c r="AR590" s="185"/>
    </row>
    <row r="591" spans="2:44" ht="15.75" hidden="1" customHeight="1" thickTop="1" x14ac:dyDescent="0.35">
      <c r="B591" s="537"/>
      <c r="C591" s="560"/>
      <c r="D591" s="575"/>
      <c r="E591" s="578"/>
      <c r="F591" s="647"/>
      <c r="G591" s="664"/>
      <c r="H591" s="667"/>
      <c r="I591" s="590"/>
      <c r="J591" s="590"/>
      <c r="K591" s="593"/>
      <c r="L591" s="590"/>
      <c r="M591" s="596"/>
      <c r="N591" s="599"/>
      <c r="O591" s="602"/>
      <c r="P591" s="596"/>
      <c r="Q591" s="605"/>
      <c r="R591" s="602"/>
      <c r="S591" s="293"/>
      <c r="T591" s="608"/>
      <c r="U591" s="202" t="s">
        <v>224</v>
      </c>
      <c r="V591" s="416"/>
      <c r="W591" s="353"/>
      <c r="X591" s="354" t="str">
        <f>IF(W591=[19]Listas!$B$46,[19]Listas!$C$46,IF(W591=[19]Listas!$B$47,[19]Listas!$C$47,IF(W591=[19]Listas!$B$48,[19]Listas!$C$48,"")))</f>
        <v/>
      </c>
      <c r="Y591" s="355" t="str">
        <f>IF(OR(W591=[19]Listas!$F$53,W591=[19]Listas!$F$54),[19]Listas!$G$53,IF(W591=[19]Listas!$F$55,[19]Listas!$G$55,""))</f>
        <v/>
      </c>
      <c r="Z591" s="353"/>
      <c r="AA591" s="214" t="str">
        <f>+IF(Z591=[19]Listas!$E$46,[19]Listas!$F$46,IF(Z591=[19]Listas!$E$47,[19]Listas!$F$47,""))</f>
        <v/>
      </c>
      <c r="AB591" s="215" t="str">
        <f t="shared" si="89"/>
        <v/>
      </c>
      <c r="AC591" s="325"/>
      <c r="AD591" s="326"/>
      <c r="AE591" s="327"/>
      <c r="AF591" s="352" t="str">
        <f t="shared" si="90"/>
        <v>Baja</v>
      </c>
      <c r="AG591" s="205">
        <f>IF(Y591=[19]Listas!$G$53,AG590-(AG590*AB591),AG590)</f>
        <v>0.216</v>
      </c>
      <c r="AH591" s="657"/>
      <c r="AI591" s="352" t="str">
        <f t="shared" si="88"/>
        <v>Mayor</v>
      </c>
      <c r="AJ591" s="205">
        <f>IF(Y591=[19]Listas!$G$55,AJ590-(AJ590*AB591),AJ590)</f>
        <v>0.8</v>
      </c>
      <c r="AK591" s="657"/>
      <c r="AL591" s="658"/>
      <c r="AM591" s="658"/>
      <c r="AN591" s="658"/>
      <c r="AO591" s="661"/>
      <c r="AP591" s="571"/>
      <c r="AQ591" s="334"/>
      <c r="AR591" s="243"/>
    </row>
    <row r="592" spans="2:44" ht="38.25" customHeight="1" thickTop="1" thickBot="1" x14ac:dyDescent="0.4">
      <c r="B592" s="537"/>
      <c r="C592" s="560"/>
      <c r="D592" s="573" t="s">
        <v>740</v>
      </c>
      <c r="E592" s="701" t="s">
        <v>4</v>
      </c>
      <c r="F592" s="693" t="s">
        <v>741</v>
      </c>
      <c r="G592" s="694" t="s">
        <v>742</v>
      </c>
      <c r="H592" s="695" t="s">
        <v>743</v>
      </c>
      <c r="I592" s="588" t="s">
        <v>23</v>
      </c>
      <c r="J592" s="588" t="s">
        <v>29</v>
      </c>
      <c r="K592" s="591" t="s">
        <v>736</v>
      </c>
      <c r="L592" s="588" t="s">
        <v>168</v>
      </c>
      <c r="M592" s="594" t="s">
        <v>214</v>
      </c>
      <c r="N592" s="597" t="str">
        <f>+IF(M592="","",IF(M592=$BO$15,$BN$15,IF(M592=$BO$16,$BN$16,IF(M592=$BO$17,$BN$17,IF(M592=$BO$18,$BN$18,IF(M592=$BO$19,$BN$19))))))</f>
        <v>Media</v>
      </c>
      <c r="O592" s="600">
        <f>+IF(M592="","",IF(M592=$BO$15,$BR$15,IF(M592=$BO$16,$BR$16,IF(M592=$BO$17,$BR$17,IF(M592=$BO$18,$BR$18,IF(M592=$BO$19,$BR$19))))))</f>
        <v>0.6</v>
      </c>
      <c r="P592" s="594" t="s">
        <v>211</v>
      </c>
      <c r="Q592" s="603" t="str">
        <f>+IF(P592="","",IF(P592='[19]Mapa de Calor inherente'!$AF$6,'[19]Mapa de Calor inherente'!$AD$6,IF(P592='[19]Mapa de Calor inherente'!$AF$7,'[19]Mapa de Calor inherente'!$AD$7,IF(P592='[19]Mapa de Calor inherente'!$AF$8,'[19]Mapa de Calor inherente'!$AD$8,IF(P592='[19]Mapa de Calor inherente'!$AF$9,'[19]Mapa de Calor inherente'!$AD$9,IF(P592='[19]Mapa de Calor inherente'!$AF$10,'[19]Mapa de Calor inherente'!$AD$10,IF(P592='[19]Mapa de Calor inherente'!$AG$6,'[19]Mapa de Calor inherente'!$AD$6,IF(P592='[19]Mapa de Calor inherente'!$AG$7,'[19]Mapa de Calor inherente'!$AD$7,IF(P592='[19]Mapa de Calor inherente'!$AG$8,'[19]Mapa de Calor inherente'!$AD$8,IF(P592='[19]Mapa de Calor inherente'!$AG$9,'[19]Mapa de Calor inherente'!$AD$9,IF(P592='[19]Mapa de Calor inherente'!$AG$10,'[19]Mapa de Calor inherente'!$AD$10,IF(P592='[19]Mapa de Calor inherente'!$AD$8,'[19]Mapa de Calor inherente'!$AD$8,IF(P592='[19]Mapa de Calor inherente'!$AD$9,'[19]Mapa de Calor inherente'!$AD$9,IF(P592='[19]Mapa de Calor inherente'!$AD$10,'[19]Mapa de Calor inherente'!$AD$10))))))))))))))</f>
        <v>Moderado</v>
      </c>
      <c r="R592" s="600">
        <f>+IF(P592="","",IF(P592='[19]Mapa de Calor inherente'!$AF$6,'[19]Mapa de Calor inherente'!$AE$6,IF(P592='[19]Mapa de Calor inherente'!$AF$7,'[19]Mapa de Calor inherente'!$AE$7,IF(P592='[19]Mapa de Calor inherente'!$AF$8,'[19]Mapa de Calor inherente'!$AE$8,IF(P592='[19]Mapa de Calor inherente'!$AF$9,'[19]Mapa de Calor inherente'!$AE$9,IF(P592='[19]Mapa de Calor inherente'!$AF$10,'[19]Mapa de Calor inherente'!$AE$10,IF(P592='[19]Mapa de Calor inherente'!$AG$6,'[19]Mapa de Calor inherente'!$AE$6,IF(P592='[19]Mapa de Calor inherente'!$AG$7,'[19]Mapa de Calor inherente'!$AE$7,IF(P592='[19]Mapa de Calor inherente'!$AG$8,'[19]Mapa de Calor inherente'!$AE$8,IF(P592='[19]Mapa de Calor inherente'!$AG$9,'[19]Mapa de Calor inherente'!$AE$9,IF(P592='[19]Mapa de Calor inherente'!$AG$10,'[19]Mapa de Calor inherente'!$AE$10,IF(P592='[19]Mapa de Calor inherente'!$AD$8,'[19]Mapa de Calor inherente'!$AE$8,IF(P592='[19]Mapa de Calor inherente'!$AD$9,'[19]Mapa de Calor inherente'!$AE$9,IF(P592='[19]Mapa de Calor inherente'!$AD$10,'[19]Mapa de Calor inherente'!$AE$10))))))))))))))</f>
        <v>0.6</v>
      </c>
      <c r="S592" s="292"/>
      <c r="T592" s="603" t="str">
        <f>+IF(N592=$BB$17,IF(Q592=$BC$16,$BC$17,IF(Q592=$BD$16,$BD$17,IF(Q592=$BE$16,$BE$17,IF(Q592=$BF$16,$BF$17,IF(Q592=$BG$16,$BG$17))))),IF(N592=$BB$18,IF(Q592=$BC$16,$BC$18,IF(Q592=$BD$16,$BD$18,IF(Q592=$BE$16,$BE$18,IF(Q592=$BF$16,$BF$18,IF(Q592=$BG$16,$BG$18))))),IF(N592=$BB$19,IF(Q592=$BC$16,$BC$19,IF(Q592=$BD$16,$BD$19,IF(Q592=$BE$16,$BE$19,IF(Q592=$BF$16,$BF$19,IF(Q592=$BG$16,$BG$19))))),IF(N592=$BB$20,IF(Q592=$BC$16,$BC$20,IF(Q592=$BD$16,$BD$20,IF(Q592=$BE$16,$BE$20,IF(Q592=$BF$16,$BF$20,IF(Q592=$BG$16,$BG$20))))),IF(N592=$BB$21,IF(Q592=$BC$16,$BC$21,IF(Q592=$BD$16,$BD$21,IF(Q592=$BE$16,$BE$21,IF(Q592=$BF$16,$BF$21,IF(Q592=$BG$16,$BG$21))))),"")))))</f>
        <v>Moderado</v>
      </c>
      <c r="U592" s="248" t="s">
        <v>171</v>
      </c>
      <c r="V592" s="489" t="s">
        <v>744</v>
      </c>
      <c r="W592" s="385" t="s">
        <v>40</v>
      </c>
      <c r="X592" s="386">
        <f>IF(W592=[19]Listas!$B$46,[19]Listas!$C$46,IF(W592=[19]Listas!$B$47,[19]Listas!$C$47,IF(W592=[19]Listas!$B$48,[19]Listas!$C$48,"")))</f>
        <v>0.25</v>
      </c>
      <c r="Y592" s="387" t="str">
        <f>IF(OR(W592=[19]Listas!$F$53,W592=[19]Listas!$F$54),[19]Listas!$G$53,IF(W592=[19]Listas!$F$55,[19]Listas!$G$55,""))</f>
        <v>Probabilidad</v>
      </c>
      <c r="Z592" s="385" t="s">
        <v>43</v>
      </c>
      <c r="AA592" s="386">
        <f>+IF(Z592=[19]Listas!$E$46,[19]Listas!$F$46,IF(Z592=[19]Listas!$E$47,[19]Listas!$F$47,""))</f>
        <v>0.15</v>
      </c>
      <c r="AB592" s="249">
        <f>IFERROR(X592+AA592,"")</f>
        <v>0.4</v>
      </c>
      <c r="AC592" s="385" t="s">
        <v>57</v>
      </c>
      <c r="AD592" s="385" t="s">
        <v>58</v>
      </c>
      <c r="AE592" s="388" t="s">
        <v>59</v>
      </c>
      <c r="AF592" s="389" t="str">
        <f t="shared" si="90"/>
        <v>Baja</v>
      </c>
      <c r="AG592" s="250">
        <f>IF(Y592=[19]Listas!$G$53,O592-(O592*AB592),O592)</f>
        <v>0.36</v>
      </c>
      <c r="AH592" s="697">
        <f>+IF(AG601="","",AG601)</f>
        <v>0.216</v>
      </c>
      <c r="AI592" s="389" t="str">
        <f>IF(AJ592="","",IF(AJ592&lt;=20%,"Leve",IF(AJ592&lt;=40%,"Menor",IF(AJ592&lt;=60%,"Moderado",IF(AJ592&lt;=80%,"Mayor","Catastrófico")))))</f>
        <v>Moderado</v>
      </c>
      <c r="AJ592" s="250">
        <f>IF(Y592=[19]Listas!$G$55,R592-(R592*AB592),R592)</f>
        <v>0.6</v>
      </c>
      <c r="AK592" s="697">
        <f>+IF(AJ601="","",AJ601)</f>
        <v>0.6</v>
      </c>
      <c r="AL592" s="698" t="str">
        <f>+IF(AH592=0,"",IF(AH592&lt;=$BA$21,$BB$21,IF(AH592&lt;=$BA$20,$BB$20,IF(AH592&lt;=$BA$19,$BB$19,IF(AH592&lt;=$BA$18,$BB$18,IF(AH592&lt;=$BA$17,$BB$17,""))))))</f>
        <v>Baja</v>
      </c>
      <c r="AM592" s="698" t="str">
        <f>+IF(AK592=0,"",IF(AK592&lt;=$BC$15,$BC$16,IF(AK592&lt;=$BD$15,$BD$16,IF(AK592&lt;=$BE$15,$BE$16,IF(AK592&lt;=$BF$15,$BF$16,IF(AK592&lt;=$BG$15,$BG$16,""))))))</f>
        <v>Moderado</v>
      </c>
      <c r="AN592" s="698" t="str">
        <f>IF(AL592=$BB$17,IF(AM592=$BC$16,$BC$17,IF(AM592=$BD$16,$BD$17,IF(AM592=$BE$16,$BE$17,IF(AM592=$BF$16,$BF$17,IF(AM592=$BG$16,$BG$17))))),IF(AL592=$BB$18,IF(AM592=$BC$16,$BC$18,IF(AM592=$BD$16,$BD$18,IF(AM592=$BE$16,$BE$18,IF(AM592=$BF$16,$BF$18,IF(AM592=$BG$16,$BG$18))))),IF(AL592=$BB$19,IF(AM592=$BC$16,$BC$19,IF(AM592=$BD$16,$BD$19,IF(AM592=$BE$16,$BE$19,IF(AM592=$BF$16,$BF$19,IF(AM592=$BG$16,$BG$19))))),IF(AL592=$BB$20,IF(AM592=$BC$16,$BC$20,IF(AM592=$BD$16,$BD$20,IF(AM592=$BE$16,$BE$20,IF(AM592=$BF$16,$BF$20,IF(AM592=$BG$16,$BG$20))))),IF(AL592=$BB$21,IF(AM592=$BC$16,$BC$21,IF(AM592=$BD$16,$BD$21,IF(AM592=$BE$16,$BE$21,IF(AM592=$BF$16,$BF$21,IF(AM592=$BG$16,$BG$21))))),"")))))</f>
        <v>Moderado</v>
      </c>
      <c r="AO592" s="699" t="str">
        <f>IF(AP592="","",IF(AP592=[19]Listas!$F$61,[19]Listas!$G$61,IF(AP592=[19]Listas!$F$63,[19]Listas!$G$63,IF(AP592=[19]Listas!$F$64,[19]Listas!$G$64))))</f>
        <v>Requiere Plan de Acción</v>
      </c>
      <c r="AP592" s="700" t="str">
        <f>IF(AN592="","",IF(OR(AN592=[19]Listas!$E$61,AN592=[19]Listas!$E$62),[19]Listas!$F$61,IF(AN592=[19]Listas!$E$63,[19]Listas!$F$63,IF(AN592=[19]Listas!$E$64,[19]Listas!$F$64))))</f>
        <v>Aceptar o reducir el riesgo</v>
      </c>
      <c r="AQ592" s="390" t="s">
        <v>80</v>
      </c>
      <c r="AR592" s="251" t="s">
        <v>738</v>
      </c>
    </row>
    <row r="593" spans="2:44" ht="74.25" customHeight="1" thickTop="1" thickBot="1" x14ac:dyDescent="0.4">
      <c r="B593" s="537"/>
      <c r="C593" s="560"/>
      <c r="D593" s="574"/>
      <c r="E593" s="702"/>
      <c r="F593" s="646"/>
      <c r="G593" s="663"/>
      <c r="H593" s="666"/>
      <c r="I593" s="589"/>
      <c r="J593" s="589"/>
      <c r="K593" s="592"/>
      <c r="L593" s="589"/>
      <c r="M593" s="595"/>
      <c r="N593" s="598"/>
      <c r="O593" s="601"/>
      <c r="P593" s="595"/>
      <c r="Q593" s="604"/>
      <c r="R593" s="601"/>
      <c r="S593" s="286"/>
      <c r="T593" s="604"/>
      <c r="U593" s="142" t="s">
        <v>174</v>
      </c>
      <c r="V593" s="490" t="s">
        <v>745</v>
      </c>
      <c r="W593" s="331" t="s">
        <v>40</v>
      </c>
      <c r="X593" s="320">
        <f>IF(W593=[19]Listas!$B$46,[19]Listas!$C$46,IF(W593=[19]Listas!$B$47,[19]Listas!$C$47,IF(W593=[19]Listas!$B$48,[19]Listas!$C$48,"")))</f>
        <v>0.25</v>
      </c>
      <c r="Y593" s="321" t="str">
        <f>IF(OR(W593=[19]Listas!$F$53,W593=[19]Listas!$F$54),[19]Listas!$G$53,IF(W593=[19]Listas!$F$55,[19]Listas!$G$55,""))</f>
        <v>Probabilidad</v>
      </c>
      <c r="Z593" s="331" t="s">
        <v>43</v>
      </c>
      <c r="AA593" s="182">
        <f>+IF(Z593=[19]Listas!$E$46,[19]Listas!$F$46,IF(Z593=[19]Listas!$E$47,[19]Listas!$F$47,""))</f>
        <v>0.15</v>
      </c>
      <c r="AB593" s="183">
        <f>IFERROR(X593+AA593,"")</f>
        <v>0.4</v>
      </c>
      <c r="AC593" s="319" t="s">
        <v>57</v>
      </c>
      <c r="AD593" s="319" t="s">
        <v>58</v>
      </c>
      <c r="AE593" s="323" t="s">
        <v>59</v>
      </c>
      <c r="AF593" s="305" t="str">
        <f t="shared" si="90"/>
        <v>Baja</v>
      </c>
      <c r="AG593" s="145">
        <f>IF(Y593=[19]Listas!$G$53,AG592-(AG592*AB593),AG592)</f>
        <v>0.216</v>
      </c>
      <c r="AH593" s="562"/>
      <c r="AI593" s="305" t="str">
        <f t="shared" si="88"/>
        <v>Moderado</v>
      </c>
      <c r="AJ593" s="145">
        <f>IF(Y593=[19]Listas!$G$55,AJ592-(AJ592*AB593),AJ592)</f>
        <v>0.6</v>
      </c>
      <c r="AK593" s="562"/>
      <c r="AL593" s="565"/>
      <c r="AM593" s="565"/>
      <c r="AN593" s="565"/>
      <c r="AO593" s="568"/>
      <c r="AP593" s="571"/>
      <c r="AQ593" s="343"/>
      <c r="AR593" s="191"/>
    </row>
    <row r="594" spans="2:44" ht="15" hidden="1" customHeight="1" thickBot="1" x14ac:dyDescent="0.4">
      <c r="B594" s="537"/>
      <c r="C594" s="560"/>
      <c r="D594" s="574"/>
      <c r="E594" s="702"/>
      <c r="F594" s="646"/>
      <c r="G594" s="663"/>
      <c r="H594" s="666"/>
      <c r="I594" s="589"/>
      <c r="J594" s="589"/>
      <c r="K594" s="592"/>
      <c r="L594" s="589"/>
      <c r="M594" s="595"/>
      <c r="N594" s="598"/>
      <c r="O594" s="601"/>
      <c r="P594" s="595"/>
      <c r="Q594" s="604"/>
      <c r="R594" s="601"/>
      <c r="S594" s="287"/>
      <c r="T594" s="604"/>
      <c r="U594" s="142" t="s">
        <v>180</v>
      </c>
      <c r="V594" s="415"/>
      <c r="W594" s="331"/>
      <c r="X594" s="320" t="str">
        <f>IF(W594=[19]Listas!$B$46,[19]Listas!$C$46,IF(W594=[19]Listas!$B$47,[19]Listas!$C$47,IF(W594=[19]Listas!$B$48,[19]Listas!$C$48,"")))</f>
        <v/>
      </c>
      <c r="Y594" s="321" t="str">
        <f>IF(OR(W594=[19]Listas!$F$53,W594=[19]Listas!$F$54),[19]Listas!$G$53,IF(W594=[19]Listas!$F$55,[19]Listas!$G$55,""))</f>
        <v/>
      </c>
      <c r="Z594" s="331"/>
      <c r="AA594" s="182" t="str">
        <f>+IF(Z594=[19]Listas!$E$46,[19]Listas!$F$46,IF(Z594=[19]Listas!$E$47,[19]Listas!$F$47,""))</f>
        <v/>
      </c>
      <c r="AB594" s="183" t="str">
        <f>IFERROR(X594+AA594,"")</f>
        <v/>
      </c>
      <c r="AC594" s="319"/>
      <c r="AD594" s="319"/>
      <c r="AE594" s="323"/>
      <c r="AF594" s="305" t="str">
        <f t="shared" si="90"/>
        <v>Baja</v>
      </c>
      <c r="AG594" s="145">
        <f>IF(Y594=[19]Listas!$G$53,AG593-(AG593*AB594),AG593)</f>
        <v>0.216</v>
      </c>
      <c r="AH594" s="562"/>
      <c r="AI594" s="305" t="str">
        <f t="shared" si="88"/>
        <v>Moderado</v>
      </c>
      <c r="AJ594" s="145">
        <f>IF(Y594=[19]Listas!$G$55,AJ593-(AJ593*AB594),AJ593)</f>
        <v>0.6</v>
      </c>
      <c r="AK594" s="562"/>
      <c r="AL594" s="565"/>
      <c r="AM594" s="565"/>
      <c r="AN594" s="565"/>
      <c r="AO594" s="568"/>
      <c r="AP594" s="571"/>
      <c r="AQ594" s="343"/>
      <c r="AR594" s="191"/>
    </row>
    <row r="595" spans="2:44" ht="15" hidden="1" customHeight="1" thickTop="1" x14ac:dyDescent="0.35">
      <c r="B595" s="537"/>
      <c r="C595" s="560"/>
      <c r="D595" s="574"/>
      <c r="E595" s="702"/>
      <c r="F595" s="646"/>
      <c r="G595" s="663"/>
      <c r="H595" s="666"/>
      <c r="I595" s="589"/>
      <c r="J595" s="589"/>
      <c r="K595" s="592"/>
      <c r="L595" s="589"/>
      <c r="M595" s="595"/>
      <c r="N595" s="598"/>
      <c r="O595" s="601"/>
      <c r="P595" s="595"/>
      <c r="Q595" s="604"/>
      <c r="R595" s="601"/>
      <c r="S595" s="287"/>
      <c r="T595" s="604"/>
      <c r="U595" s="142" t="s">
        <v>190</v>
      </c>
      <c r="V595" s="415"/>
      <c r="W595" s="331"/>
      <c r="X595" s="320" t="str">
        <f>IF(W595=[19]Listas!$B$46,[19]Listas!$C$46,IF(W595=[19]Listas!$B$47,[19]Listas!$C$47,IF(W595=[19]Listas!$B$48,[19]Listas!$C$48,"")))</f>
        <v/>
      </c>
      <c r="Y595" s="321" t="str">
        <f>IF(OR(W595=[19]Listas!$F$53,W595=[19]Listas!$F$54),[19]Listas!$G$53,IF(W595=[19]Listas!$F$55,[19]Listas!$G$55,""))</f>
        <v/>
      </c>
      <c r="Z595" s="331"/>
      <c r="AA595" s="182" t="str">
        <f>+IF(Z595=[19]Listas!$E$46,[19]Listas!$F$46,IF(Z595=[19]Listas!$E$47,[19]Listas!$F$47,""))</f>
        <v/>
      </c>
      <c r="AB595" s="183" t="str">
        <f t="shared" ref="AB595:AB601" si="91">IFERROR(X595+AA595,"")</f>
        <v/>
      </c>
      <c r="AC595" s="319"/>
      <c r="AD595" s="319"/>
      <c r="AE595" s="323"/>
      <c r="AF595" s="305" t="str">
        <f t="shared" si="90"/>
        <v>Baja</v>
      </c>
      <c r="AG595" s="145">
        <f>IF(Y595=[19]Listas!$G$53,AG594-(AG594*AB595),AG594)</f>
        <v>0.216</v>
      </c>
      <c r="AH595" s="562"/>
      <c r="AI595" s="305" t="str">
        <f t="shared" si="88"/>
        <v>Moderado</v>
      </c>
      <c r="AJ595" s="145">
        <f>IF(Y595=[19]Listas!$G$55,AJ594-(AJ594*AB595),AJ594)</f>
        <v>0.6</v>
      </c>
      <c r="AK595" s="562"/>
      <c r="AL595" s="565"/>
      <c r="AM595" s="565"/>
      <c r="AN595" s="565"/>
      <c r="AO595" s="568"/>
      <c r="AP595" s="571"/>
      <c r="AQ595" s="344"/>
      <c r="AR595" s="191"/>
    </row>
    <row r="596" spans="2:44" ht="15" hidden="1" customHeight="1" thickTop="1" x14ac:dyDescent="0.35">
      <c r="B596" s="537"/>
      <c r="C596" s="560"/>
      <c r="D596" s="574"/>
      <c r="E596" s="702"/>
      <c r="F596" s="646"/>
      <c r="G596" s="663"/>
      <c r="H596" s="666"/>
      <c r="I596" s="589"/>
      <c r="J596" s="589"/>
      <c r="K596" s="592"/>
      <c r="L596" s="589"/>
      <c r="M596" s="595"/>
      <c r="N596" s="598"/>
      <c r="O596" s="601"/>
      <c r="P596" s="595"/>
      <c r="Q596" s="604"/>
      <c r="R596" s="601"/>
      <c r="S596" s="287"/>
      <c r="T596" s="604"/>
      <c r="U596" s="142" t="s">
        <v>198</v>
      </c>
      <c r="V596" s="415"/>
      <c r="W596" s="331"/>
      <c r="X596" s="320" t="str">
        <f>IF(W596=[19]Listas!$B$46,[19]Listas!$C$46,IF(W596=[19]Listas!$B$47,[19]Listas!$C$47,IF(W596=[19]Listas!$B$48,[19]Listas!$C$48,"")))</f>
        <v/>
      </c>
      <c r="Y596" s="321" t="str">
        <f>IF(OR(W596=[19]Listas!$F$53,W596=[19]Listas!$F$54),[19]Listas!$G$53,IF(W596=[19]Listas!$F$55,[19]Listas!$G$55,""))</f>
        <v/>
      </c>
      <c r="Z596" s="331"/>
      <c r="AA596" s="182" t="str">
        <f>+IF(Z596=[19]Listas!$E$46,[19]Listas!$F$46,IF(Z596=[19]Listas!$E$47,[19]Listas!$F$47,""))</f>
        <v/>
      </c>
      <c r="AB596" s="183" t="str">
        <f t="shared" si="91"/>
        <v/>
      </c>
      <c r="AC596" s="319"/>
      <c r="AD596" s="319"/>
      <c r="AE596" s="323"/>
      <c r="AF596" s="305" t="str">
        <f t="shared" si="90"/>
        <v>Baja</v>
      </c>
      <c r="AG596" s="145">
        <f>IF(Y596=[19]Listas!$G$53,AG595-(AG595*AB596),AG595)</f>
        <v>0.216</v>
      </c>
      <c r="AH596" s="562"/>
      <c r="AI596" s="305" t="str">
        <f t="shared" si="88"/>
        <v>Moderado</v>
      </c>
      <c r="AJ596" s="145">
        <f>IF(Y596=[19]Listas!$G$55,AJ595-(AJ595*AB596),AJ595)</f>
        <v>0.6</v>
      </c>
      <c r="AK596" s="562"/>
      <c r="AL596" s="565"/>
      <c r="AM596" s="565"/>
      <c r="AN596" s="565"/>
      <c r="AO596" s="568"/>
      <c r="AP596" s="571"/>
      <c r="AQ596" s="343"/>
      <c r="AR596" s="191"/>
    </row>
    <row r="597" spans="2:44" ht="15.75" hidden="1" customHeight="1" thickTop="1" x14ac:dyDescent="0.35">
      <c r="B597" s="537"/>
      <c r="C597" s="560"/>
      <c r="D597" s="574"/>
      <c r="E597" s="702"/>
      <c r="F597" s="646"/>
      <c r="G597" s="663"/>
      <c r="H597" s="666"/>
      <c r="I597" s="589"/>
      <c r="J597" s="589"/>
      <c r="K597" s="592"/>
      <c r="L597" s="589"/>
      <c r="M597" s="595"/>
      <c r="N597" s="598"/>
      <c r="O597" s="601"/>
      <c r="P597" s="595"/>
      <c r="Q597" s="604"/>
      <c r="R597" s="601"/>
      <c r="S597" s="288"/>
      <c r="T597" s="604"/>
      <c r="U597" s="142" t="s">
        <v>208</v>
      </c>
      <c r="V597" s="415"/>
      <c r="W597" s="331"/>
      <c r="X597" s="320" t="str">
        <f>IF(W597=[19]Listas!$B$46,[19]Listas!$C$46,IF(W597=[19]Listas!$B$47,[19]Listas!$C$47,IF(W597=[19]Listas!$B$48,[19]Listas!$C$48,"")))</f>
        <v/>
      </c>
      <c r="Y597" s="321" t="str">
        <f>IF(OR(W597=[19]Listas!$F$53,W597=[19]Listas!$F$54),[19]Listas!$G$53,IF(W597=[19]Listas!$F$55,[19]Listas!$G$55,""))</f>
        <v/>
      </c>
      <c r="Z597" s="331"/>
      <c r="AA597" s="182" t="str">
        <f>+IF(Z597=[19]Listas!$E$46,[19]Listas!$F$46,IF(Z597=[19]Listas!$E$47,[19]Listas!$F$47,""))</f>
        <v/>
      </c>
      <c r="AB597" s="183" t="str">
        <f t="shared" si="91"/>
        <v/>
      </c>
      <c r="AC597" s="319"/>
      <c r="AD597" s="319"/>
      <c r="AE597" s="323"/>
      <c r="AF597" s="305" t="str">
        <f t="shared" si="90"/>
        <v>Baja</v>
      </c>
      <c r="AG597" s="145">
        <f>IF(Y597=[19]Listas!$G$53,AG596-(AG596*AB597),AG596)</f>
        <v>0.216</v>
      </c>
      <c r="AH597" s="562"/>
      <c r="AI597" s="305" t="str">
        <f t="shared" si="88"/>
        <v>Moderado</v>
      </c>
      <c r="AJ597" s="145">
        <f>IF(Y597=[19]Listas!$G$55,AJ596-(AJ596*AB597),AJ596)</f>
        <v>0.6</v>
      </c>
      <c r="AK597" s="562"/>
      <c r="AL597" s="565"/>
      <c r="AM597" s="565"/>
      <c r="AN597" s="565"/>
      <c r="AO597" s="568"/>
      <c r="AP597" s="571"/>
      <c r="AQ597" s="344"/>
      <c r="AR597" s="191"/>
    </row>
    <row r="598" spans="2:44" ht="15" hidden="1" customHeight="1" thickTop="1" x14ac:dyDescent="0.35">
      <c r="B598" s="537"/>
      <c r="C598" s="560"/>
      <c r="D598" s="574"/>
      <c r="E598" s="702"/>
      <c r="F598" s="646"/>
      <c r="G598" s="663"/>
      <c r="H598" s="666"/>
      <c r="I598" s="589"/>
      <c r="J598" s="589"/>
      <c r="K598" s="592"/>
      <c r="L598" s="589"/>
      <c r="M598" s="595"/>
      <c r="N598" s="598"/>
      <c r="O598" s="601"/>
      <c r="P598" s="595"/>
      <c r="Q598" s="604"/>
      <c r="R598" s="601"/>
      <c r="S598" s="289"/>
      <c r="T598" s="604"/>
      <c r="U598" s="142" t="s">
        <v>215</v>
      </c>
      <c r="V598" s="418"/>
      <c r="W598" s="331"/>
      <c r="X598" s="320" t="str">
        <f>IF(W598=[19]Listas!$B$46,[19]Listas!$C$46,IF(W598=[19]Listas!$B$47,[19]Listas!$C$47,IF(W598=[19]Listas!$B$48,[19]Listas!$C$48,"")))</f>
        <v/>
      </c>
      <c r="Y598" s="321" t="str">
        <f>IF(OR(W598=[19]Listas!$F$53,W598=[19]Listas!$F$54),[19]Listas!$G$53,IF(W598=[19]Listas!$F$55,[19]Listas!$G$55,""))</f>
        <v/>
      </c>
      <c r="Z598" s="331"/>
      <c r="AA598" s="182" t="str">
        <f>+IF(Z598=[19]Listas!$E$46,[19]Listas!$F$46,IF(Z598=[19]Listas!$E$47,[19]Listas!$F$47,""))</f>
        <v/>
      </c>
      <c r="AB598" s="183" t="str">
        <f t="shared" si="91"/>
        <v/>
      </c>
      <c r="AC598" s="319"/>
      <c r="AD598" s="322"/>
      <c r="AE598" s="323"/>
      <c r="AF598" s="305" t="str">
        <f t="shared" si="90"/>
        <v>Baja</v>
      </c>
      <c r="AG598" s="145">
        <f>IF(Y598=[19]Listas!$G$53,AG597-(AG597*AB598),AG597)</f>
        <v>0.216</v>
      </c>
      <c r="AH598" s="562"/>
      <c r="AI598" s="305" t="str">
        <f t="shared" si="88"/>
        <v>Moderado</v>
      </c>
      <c r="AJ598" s="145">
        <f>IF(Y598=[19]Listas!$G$55,AJ597-(AJ597*AB598),AJ597)</f>
        <v>0.6</v>
      </c>
      <c r="AK598" s="562"/>
      <c r="AL598" s="565"/>
      <c r="AM598" s="565"/>
      <c r="AN598" s="565"/>
      <c r="AO598" s="568"/>
      <c r="AP598" s="571"/>
      <c r="AQ598" s="345"/>
      <c r="AR598" s="191"/>
    </row>
    <row r="599" spans="2:44" ht="15" hidden="1" customHeight="1" thickTop="1" x14ac:dyDescent="0.35">
      <c r="B599" s="537"/>
      <c r="C599" s="560"/>
      <c r="D599" s="574"/>
      <c r="E599" s="702"/>
      <c r="F599" s="646"/>
      <c r="G599" s="663"/>
      <c r="H599" s="666"/>
      <c r="I599" s="589"/>
      <c r="J599" s="589"/>
      <c r="K599" s="592"/>
      <c r="L599" s="589"/>
      <c r="M599" s="595"/>
      <c r="N599" s="598"/>
      <c r="O599" s="601"/>
      <c r="P599" s="595"/>
      <c r="Q599" s="604"/>
      <c r="R599" s="601"/>
      <c r="S599" s="289"/>
      <c r="T599" s="604"/>
      <c r="U599" s="142" t="s">
        <v>220</v>
      </c>
      <c r="V599" s="418"/>
      <c r="W599" s="331"/>
      <c r="X599" s="320" t="str">
        <f>IF(W599=[19]Listas!$B$46,[19]Listas!$C$46,IF(W599=[19]Listas!$B$47,[19]Listas!$C$47,IF(W599=[19]Listas!$B$48,[19]Listas!$C$48,"")))</f>
        <v/>
      </c>
      <c r="Y599" s="321" t="str">
        <f>IF(OR(W599=[19]Listas!$F$53,W599=[19]Listas!$F$54),[19]Listas!$G$53,IF(W599=[19]Listas!$F$55,[19]Listas!$G$55,""))</f>
        <v/>
      </c>
      <c r="Z599" s="331"/>
      <c r="AA599" s="182" t="str">
        <f>+IF(Z599=[19]Listas!$E$46,[19]Listas!$F$46,IF(Z599=[19]Listas!$E$47,[19]Listas!$F$47,""))</f>
        <v/>
      </c>
      <c r="AB599" s="183" t="str">
        <f t="shared" si="91"/>
        <v/>
      </c>
      <c r="AC599" s="319"/>
      <c r="AD599" s="322"/>
      <c r="AE599" s="323"/>
      <c r="AF599" s="305" t="str">
        <f t="shared" si="90"/>
        <v>Baja</v>
      </c>
      <c r="AG599" s="145">
        <f>IF(Y599=[19]Listas!$G$53,AG598-(AG598*AB599),AG598)</f>
        <v>0.216</v>
      </c>
      <c r="AH599" s="562"/>
      <c r="AI599" s="305" t="str">
        <f t="shared" si="88"/>
        <v>Moderado</v>
      </c>
      <c r="AJ599" s="145">
        <f>IF(Y599=[19]Listas!$G$55,AJ598-(AJ598*AB599),AJ598)</f>
        <v>0.6</v>
      </c>
      <c r="AK599" s="562"/>
      <c r="AL599" s="565"/>
      <c r="AM599" s="565"/>
      <c r="AN599" s="565"/>
      <c r="AO599" s="568"/>
      <c r="AP599" s="571"/>
      <c r="AQ599" s="343"/>
      <c r="AR599" s="191"/>
    </row>
    <row r="600" spans="2:44" ht="15" hidden="1" customHeight="1" thickTop="1" x14ac:dyDescent="0.35">
      <c r="B600" s="537"/>
      <c r="C600" s="560"/>
      <c r="D600" s="574"/>
      <c r="E600" s="702"/>
      <c r="F600" s="646"/>
      <c r="G600" s="663"/>
      <c r="H600" s="666"/>
      <c r="I600" s="589"/>
      <c r="J600" s="589"/>
      <c r="K600" s="592"/>
      <c r="L600" s="589"/>
      <c r="M600" s="595"/>
      <c r="N600" s="598"/>
      <c r="O600" s="601"/>
      <c r="P600" s="595"/>
      <c r="Q600" s="604"/>
      <c r="R600" s="601"/>
      <c r="S600" s="289"/>
      <c r="T600" s="604"/>
      <c r="U600" s="142" t="s">
        <v>223</v>
      </c>
      <c r="V600" s="418"/>
      <c r="W600" s="331"/>
      <c r="X600" s="320" t="str">
        <f>IF(W600=[19]Listas!$B$46,[19]Listas!$C$46,IF(W600=[19]Listas!$B$47,[19]Listas!$C$47,IF(W600=[19]Listas!$B$48,[19]Listas!$C$48,"")))</f>
        <v/>
      </c>
      <c r="Y600" s="321" t="str">
        <f>IF(OR(W600=[19]Listas!$F$53,W600=[19]Listas!$F$54),[19]Listas!$G$53,IF(W600=[19]Listas!$F$55,[19]Listas!$G$55,""))</f>
        <v/>
      </c>
      <c r="Z600" s="331"/>
      <c r="AA600" s="182" t="str">
        <f>+IF(Z600=[19]Listas!$E$46,[19]Listas!$F$46,IF(Z600=[19]Listas!$E$47,[19]Listas!$F$47,""))</f>
        <v/>
      </c>
      <c r="AB600" s="183" t="str">
        <f t="shared" si="91"/>
        <v/>
      </c>
      <c r="AC600" s="319"/>
      <c r="AD600" s="322"/>
      <c r="AE600" s="323"/>
      <c r="AF600" s="305" t="str">
        <f t="shared" si="90"/>
        <v>Baja</v>
      </c>
      <c r="AG600" s="145">
        <f>IF(Y600=[19]Listas!$G$53,AG599-(AG599*AB600),AG599)</f>
        <v>0.216</v>
      </c>
      <c r="AH600" s="562"/>
      <c r="AI600" s="305" t="str">
        <f t="shared" si="88"/>
        <v>Moderado</v>
      </c>
      <c r="AJ600" s="145">
        <f>IF(Y600=[19]Listas!$G$55,AJ599-(AJ599*AB600),AJ599)</f>
        <v>0.6</v>
      </c>
      <c r="AK600" s="562"/>
      <c r="AL600" s="565"/>
      <c r="AM600" s="565"/>
      <c r="AN600" s="565"/>
      <c r="AO600" s="568"/>
      <c r="AP600" s="571"/>
      <c r="AQ600" s="344"/>
      <c r="AR600" s="191"/>
    </row>
    <row r="601" spans="2:44" ht="15.75" hidden="1" customHeight="1" thickTop="1" x14ac:dyDescent="0.35">
      <c r="B601" s="537"/>
      <c r="C601" s="560"/>
      <c r="D601" s="692"/>
      <c r="E601" s="703"/>
      <c r="F601" s="646"/>
      <c r="G601" s="663"/>
      <c r="H601" s="666"/>
      <c r="I601" s="590"/>
      <c r="J601" s="590"/>
      <c r="K601" s="593"/>
      <c r="L601" s="590"/>
      <c r="M601" s="596"/>
      <c r="N601" s="599"/>
      <c r="O601" s="602"/>
      <c r="P601" s="596"/>
      <c r="Q601" s="605"/>
      <c r="R601" s="602"/>
      <c r="S601" s="293"/>
      <c r="T601" s="605"/>
      <c r="U601" s="213" t="s">
        <v>224</v>
      </c>
      <c r="V601" s="446"/>
      <c r="W601" s="335"/>
      <c r="X601" s="336" t="str">
        <f>IF(W601=[19]Listas!$B$46,[19]Listas!$C$46,IF(W601=[19]Listas!$B$47,[19]Listas!$C$47,IF(W601=[19]Listas!$B$48,[19]Listas!$C$48,"")))</f>
        <v/>
      </c>
      <c r="Y601" s="337" t="str">
        <f>IF(OR(W601=[19]Listas!$F$53,W601=[19]Listas!$F$54),[19]Listas!$G$53,IF(W601=[19]Listas!$F$55,[19]Listas!$G$55,""))</f>
        <v/>
      </c>
      <c r="Z601" s="335"/>
      <c r="AA601" s="186" t="str">
        <f>+IF(Z601=[19]Listas!$E$46,[19]Listas!$F$46,IF(Z601=[19]Listas!$E$47,[19]Listas!$F$47,""))</f>
        <v/>
      </c>
      <c r="AB601" s="187" t="str">
        <f t="shared" si="91"/>
        <v/>
      </c>
      <c r="AC601" s="338"/>
      <c r="AD601" s="339"/>
      <c r="AE601" s="340"/>
      <c r="AF601" s="311" t="str">
        <f t="shared" si="90"/>
        <v>Baja</v>
      </c>
      <c r="AG601" s="179">
        <f>IF(Y601=[19]Listas!$G$53,AG600-(AG600*AB601),AG600)</f>
        <v>0.216</v>
      </c>
      <c r="AH601" s="563"/>
      <c r="AI601" s="311" t="str">
        <f t="shared" si="88"/>
        <v>Moderado</v>
      </c>
      <c r="AJ601" s="179">
        <f>IF(Y601=[19]Listas!$G$55,AJ600-(AJ600*AB601),AJ600)</f>
        <v>0.6</v>
      </c>
      <c r="AK601" s="563"/>
      <c r="AL601" s="566"/>
      <c r="AM601" s="566"/>
      <c r="AN601" s="566"/>
      <c r="AO601" s="569"/>
      <c r="AP601" s="572"/>
      <c r="AQ601" s="346"/>
      <c r="AR601" s="192"/>
    </row>
    <row r="602" spans="2:44" ht="71" thickTop="1" thickBot="1" x14ac:dyDescent="0.4">
      <c r="B602" s="537"/>
      <c r="C602" s="560"/>
      <c r="D602" s="573" t="s">
        <v>746</v>
      </c>
      <c r="E602" s="576" t="s">
        <v>4</v>
      </c>
      <c r="F602" s="645" t="s">
        <v>747</v>
      </c>
      <c r="G602" s="662" t="s">
        <v>748</v>
      </c>
      <c r="H602" s="665" t="s">
        <v>749</v>
      </c>
      <c r="I602" s="588" t="s">
        <v>23</v>
      </c>
      <c r="J602" s="588" t="s">
        <v>29</v>
      </c>
      <c r="K602" s="591" t="s">
        <v>736</v>
      </c>
      <c r="L602" s="588" t="s">
        <v>168</v>
      </c>
      <c r="M602" s="594" t="s">
        <v>197</v>
      </c>
      <c r="N602" s="597" t="str">
        <f>+IF(M602="","",IF(M602=$BO$15,$BN$15,IF(M602=$BO$16,$BN$16,IF(M602=$BO$17,$BN$17,IF(M602=$BO$18,$BN$18,IF(M602=$BO$19,$BN$19))))))</f>
        <v>Muy Baja</v>
      </c>
      <c r="O602" s="600">
        <f>+IF(M602="","",IF(M602=$BO$15,$BR$15,IF(M602=$BO$16,$BR$16,IF(M602=$BO$17,$BR$17,IF(M602=$BO$18,$BR$18,IF(M602=$BO$19,$BR$19))))))</f>
        <v>0.2</v>
      </c>
      <c r="P602" s="594" t="s">
        <v>204</v>
      </c>
      <c r="Q602" s="603" t="str">
        <f>+IF(P602="","",IF(P602='[19]Mapa de Calor inherente'!$AF$6,'[19]Mapa de Calor inherente'!$AD$6,IF(P602='[19]Mapa de Calor inherente'!$AF$7,'[19]Mapa de Calor inherente'!$AD$7,IF(P602='[19]Mapa de Calor inherente'!$AF$8,'[19]Mapa de Calor inherente'!$AD$8,IF(P602='[19]Mapa de Calor inherente'!$AF$9,'[19]Mapa de Calor inherente'!$AD$9,IF(P602='[19]Mapa de Calor inherente'!$AF$10,'[19]Mapa de Calor inherente'!$AD$10,IF(P602='[19]Mapa de Calor inherente'!$AG$6,'[19]Mapa de Calor inherente'!$AD$6,IF(P602='[19]Mapa de Calor inherente'!$AG$7,'[19]Mapa de Calor inherente'!$AD$7,IF(P602='[19]Mapa de Calor inherente'!$AG$8,'[19]Mapa de Calor inherente'!$AD$8,IF(P602='[19]Mapa de Calor inherente'!$AG$9,'[19]Mapa de Calor inherente'!$AD$9,IF(P602='[19]Mapa de Calor inherente'!$AG$10,'[19]Mapa de Calor inherente'!$AD$10,IF(P602='[19]Mapa de Calor inherente'!$AD$8,'[19]Mapa de Calor inherente'!$AD$8,IF(P602='[19]Mapa de Calor inherente'!$AD$9,'[19]Mapa de Calor inherente'!$AD$9,IF(P602='[19]Mapa de Calor inherente'!$AD$10,'[19]Mapa de Calor inherente'!$AD$10))))))))))))))</f>
        <v>Menor</v>
      </c>
      <c r="R602" s="600">
        <f>+IF(P602="","",IF(P602='[19]Mapa de Calor inherente'!$AF$6,'[19]Mapa de Calor inherente'!$AE$6,IF(P602='[19]Mapa de Calor inherente'!$AF$7,'[19]Mapa de Calor inherente'!$AE$7,IF(P602='[19]Mapa de Calor inherente'!$AF$8,'[19]Mapa de Calor inherente'!$AE$8,IF(P602='[19]Mapa de Calor inherente'!$AF$9,'[19]Mapa de Calor inherente'!$AE$9,IF(P602='[19]Mapa de Calor inherente'!$AF$10,'[19]Mapa de Calor inherente'!$AE$10,IF(P602='[19]Mapa de Calor inherente'!$AG$6,'[19]Mapa de Calor inherente'!$AE$6,IF(P602='[19]Mapa de Calor inherente'!$AG$7,'[19]Mapa de Calor inherente'!$AE$7,IF(P602='[19]Mapa de Calor inherente'!$AG$8,'[19]Mapa de Calor inherente'!$AE$8,IF(P602='[19]Mapa de Calor inherente'!$AG$9,'[19]Mapa de Calor inherente'!$AE$9,IF(P602='[19]Mapa de Calor inherente'!$AG$10,'[19]Mapa de Calor inherente'!$AE$10,IF(P602='[19]Mapa de Calor inherente'!$AD$8,'[19]Mapa de Calor inherente'!$AE$8,IF(P602='[19]Mapa de Calor inherente'!$AD$9,'[19]Mapa de Calor inherente'!$AE$9,IF(P602='[19]Mapa de Calor inherente'!$AD$10,'[19]Mapa de Calor inherente'!$AE$10))))))))))))))</f>
        <v>0.4</v>
      </c>
      <c r="S602" s="292"/>
      <c r="T602" s="603" t="str">
        <f>+IF(N602=$BB$17,IF(Q602=$BC$16,$BC$17,IF(Q602=$BD$16,$BD$17,IF(Q602=$BE$16,$BE$17,IF(Q602=$BF$16,$BF$17,IF(Q602=$BG$16,$BG$17))))),IF(N602=$BB$18,IF(Q602=$BC$16,$BC$18,IF(Q602=$BD$16,$BD$18,IF(Q602=$BE$16,$BE$18,IF(Q602=$BF$16,$BF$18,IF(Q602=$BG$16,$BG$18))))),IF(N602=$BB$19,IF(Q602=$BC$16,$BC$19,IF(Q602=$BD$16,$BD$19,IF(Q602=$BE$16,$BE$19,IF(Q602=$BF$16,$BF$19,IF(Q602=$BG$16,$BG$19))))),IF(N602=$BB$20,IF(Q602=$BC$16,$BC$20,IF(Q602=$BD$16,$BD$20,IF(Q602=$BE$16,$BE$20,IF(Q602=$BF$16,$BF$20,IF(Q602=$BG$16,$BG$20))))),IF(N602=$BB$21,IF(Q602=$BC$16,$BC$21,IF(Q602=$BD$16,$BD$21,IF(Q602=$BE$16,$BE$21,IF(Q602=$BF$16,$BF$21,IF(Q602=$BG$16,$BG$21))))),"")))))</f>
        <v>Bajo</v>
      </c>
      <c r="U602" s="139" t="s">
        <v>171</v>
      </c>
      <c r="V602" s="491" t="s">
        <v>750</v>
      </c>
      <c r="W602" s="313" t="s">
        <v>40</v>
      </c>
      <c r="X602" s="314">
        <f>IF(W602=[19]Listas!$B$46,[19]Listas!$C$46,IF(W602=[19]Listas!$B$47,[19]Listas!$C$47,IF(W602=[19]Listas!$B$48,[19]Listas!$C$48,"")))</f>
        <v>0.25</v>
      </c>
      <c r="Y602" s="315" t="str">
        <f>IF(OR(W602=[19]Listas!$F$53,W602=[19]Listas!$F$54),[19]Listas!$G$53,IF(W602=[19]Listas!$F$55,[19]Listas!$G$55,""))</f>
        <v>Probabilidad</v>
      </c>
      <c r="Z602" s="313" t="s">
        <v>43</v>
      </c>
      <c r="AA602" s="314">
        <f>+IF(Z602=[19]Listas!$E$46,[19]Listas!$F$46,IF(Z602=[19]Listas!$E$47,[19]Listas!$F$47,""))</f>
        <v>0.15</v>
      </c>
      <c r="AB602" s="181">
        <f>IFERROR(X602+AA602,"")</f>
        <v>0.4</v>
      </c>
      <c r="AC602" s="313" t="s">
        <v>57</v>
      </c>
      <c r="AD602" s="316" t="s">
        <v>58</v>
      </c>
      <c r="AE602" s="317" t="s">
        <v>59</v>
      </c>
      <c r="AF602" s="299" t="str">
        <f t="shared" si="90"/>
        <v>Muy baja</v>
      </c>
      <c r="AG602" s="141">
        <f>IF(Y602=[19]Listas!$G$53,O602-(O602*AB602),O602)</f>
        <v>0.12</v>
      </c>
      <c r="AH602" s="561">
        <f>+IF(AG611="","",AG611)</f>
        <v>0.12</v>
      </c>
      <c r="AI602" s="299" t="str">
        <f>IF(AJ602="","",IF(AJ602&lt;=20%,"Leve",IF(AJ602&lt;=40%,"Menor",IF(AJ602&lt;=60%,"Moderado",IF(AJ602&lt;=80%,"Mayor","Catastrófico")))))</f>
        <v>Menor</v>
      </c>
      <c r="AJ602" s="141">
        <f>IF(Y602=[19]Listas!$G$55,R602-(R602*AB602),R602)</f>
        <v>0.4</v>
      </c>
      <c r="AK602" s="561">
        <f>+IF(AJ611="","",AJ611)</f>
        <v>0.4</v>
      </c>
      <c r="AL602" s="564" t="str">
        <f>+IF(AH602=0,"",IF(AH602&lt;=$BA$21,$BB$21,IF(AH602&lt;=$BA$20,$BB$20,IF(AH602&lt;=$BA$19,$BB$19,IF(AH602&lt;=$BA$18,$BB$18,IF(AH602&lt;=$BA$17,$BB$17,""))))))</f>
        <v>Muy Baja</v>
      </c>
      <c r="AM602" s="564" t="str">
        <f>+IF(AK602=0,"",IF(AK602&lt;=$BC$15,$BC$16,IF(AK602&lt;=$BD$15,$BD$16,IF(AK602&lt;=$BE$15,$BE$16,IF(AK602&lt;=$BF$15,$BF$16,IF(AK602&lt;=$BG$15,$BG$16,""))))))</f>
        <v>Menor</v>
      </c>
      <c r="AN602" s="564" t="str">
        <f>IF(AL602=$BB$17,IF(AM602=$BC$16,$BC$17,IF(AM602=$BD$16,$BD$17,IF(AM602=$BE$16,$BE$17,IF(AM602=$BF$16,$BF$17,IF(AM602=$BG$16,$BG$17))))),IF(AL602=$BB$18,IF(AM602=$BC$16,$BC$18,IF(AM602=$BD$16,$BD$18,IF(AM602=$BE$16,$BE$18,IF(AM602=$BF$16,$BF$18,IF(AM602=$BG$16,$BG$18))))),IF(AL602=$BB$19,IF(AM602=$BC$16,$BC$19,IF(AM602=$BD$16,$BD$19,IF(AM602=$BE$16,$BE$19,IF(AM602=$BF$16,$BF$19,IF(AM602=$BG$16,$BG$19))))),IF(AL602=$BB$20,IF(AM602=$BC$16,$BC$20,IF(AM602=$BD$16,$BD$20,IF(AM602=$BE$16,$BE$20,IF(AM602=$BF$16,$BF$20,IF(AM602=$BG$16,$BG$20))))),IF(AL602=$BB$21,IF(AM602=$BC$16,$BC$21,IF(AM602=$BD$16,$BD$21,IF(AM602=$BE$16,$BE$21,IF(AM602=$BF$16,$BF$21,IF(AM602=$BG$16,$BG$21))))),"")))))</f>
        <v>Bajo</v>
      </c>
      <c r="AO602" s="567" t="str">
        <f>IF(AP602="","",IF(AP602=[19]Listas!$F$61,[19]Listas!$G$61,IF(AP602=[19]Listas!$F$63,[19]Listas!$G$63,IF(AP602=[19]Listas!$F$64,[19]Listas!$G$64))))</f>
        <v>No requiere Plan de Acción</v>
      </c>
      <c r="AP602" s="570" t="str">
        <f>IF(AN602="","",IF(OR(AN602=[19]Listas!$E$61,AN602=[19]Listas!$E$62),[19]Listas!$F$61,IF(AN602=[19]Listas!$E$63,[19]Listas!$F$63,IF(AN602=[19]Listas!$E$64,[19]Listas!$F$64))))</f>
        <v>Aceptar  el riesgo</v>
      </c>
      <c r="AQ602" s="342" t="s">
        <v>76</v>
      </c>
      <c r="AR602" s="239" t="s">
        <v>751</v>
      </c>
    </row>
    <row r="603" spans="2:44" ht="15.65" hidden="1" customHeight="1" thickBot="1" x14ac:dyDescent="0.4">
      <c r="B603" s="537"/>
      <c r="C603" s="560"/>
      <c r="D603" s="574"/>
      <c r="E603" s="577"/>
      <c r="F603" s="646"/>
      <c r="G603" s="663"/>
      <c r="H603" s="666"/>
      <c r="I603" s="589"/>
      <c r="J603" s="589"/>
      <c r="K603" s="592"/>
      <c r="L603" s="589"/>
      <c r="M603" s="595"/>
      <c r="N603" s="598"/>
      <c r="O603" s="601"/>
      <c r="P603" s="595"/>
      <c r="Q603" s="604"/>
      <c r="R603" s="601"/>
      <c r="S603" s="286"/>
      <c r="T603" s="604"/>
      <c r="U603" s="142" t="s">
        <v>174</v>
      </c>
      <c r="V603" s="415"/>
      <c r="W603" s="319"/>
      <c r="X603" s="320" t="str">
        <f>IF(W603=[19]Listas!$B$46,[19]Listas!$C$46,IF(W603=[19]Listas!$B$47,[19]Listas!$C$47,IF(W603=[19]Listas!$B$48,[19]Listas!$C$48,"")))</f>
        <v/>
      </c>
      <c r="Y603" s="321" t="str">
        <f>IF(OR(W603=[19]Listas!$F$53,W603=[19]Listas!$F$54),[19]Listas!$G$53,IF(W603=[19]Listas!$F$55,[19]Listas!$G$55,""))</f>
        <v/>
      </c>
      <c r="Z603" s="319"/>
      <c r="AA603" s="182" t="str">
        <f>+IF(Z603=[19]Listas!$E$46,[19]Listas!$F$46,IF(Z603=[19]Listas!$E$47,[19]Listas!$F$47,""))</f>
        <v/>
      </c>
      <c r="AB603" s="183" t="str">
        <f>IFERROR(X603+AA603,"")</f>
        <v/>
      </c>
      <c r="AC603" s="319"/>
      <c r="AD603" s="322"/>
      <c r="AE603" s="323"/>
      <c r="AF603" s="305" t="str">
        <f t="shared" si="90"/>
        <v>Muy baja</v>
      </c>
      <c r="AG603" s="145">
        <f>IF(Y603=[19]Listas!$G$53,AG602-(AG602*AB603),AG602)</f>
        <v>0.12</v>
      </c>
      <c r="AH603" s="562"/>
      <c r="AI603" s="305" t="str">
        <f t="shared" si="88"/>
        <v>Menor</v>
      </c>
      <c r="AJ603" s="145">
        <f>IF(Y603=[19]Listas!$G$55,AJ602-(AJ602*AB603),AJ602)</f>
        <v>0.4</v>
      </c>
      <c r="AK603" s="562"/>
      <c r="AL603" s="565"/>
      <c r="AM603" s="565"/>
      <c r="AN603" s="565"/>
      <c r="AO603" s="568"/>
      <c r="AP603" s="571"/>
      <c r="AQ603" s="344"/>
      <c r="AR603" s="191"/>
    </row>
    <row r="604" spans="2:44" ht="15.65" hidden="1" customHeight="1" thickBot="1" x14ac:dyDescent="0.4">
      <c r="B604" s="537"/>
      <c r="C604" s="560"/>
      <c r="D604" s="574"/>
      <c r="E604" s="577"/>
      <c r="F604" s="646"/>
      <c r="G604" s="663"/>
      <c r="H604" s="666"/>
      <c r="I604" s="589"/>
      <c r="J604" s="589"/>
      <c r="K604" s="592"/>
      <c r="L604" s="589"/>
      <c r="M604" s="595"/>
      <c r="N604" s="598"/>
      <c r="O604" s="601"/>
      <c r="P604" s="595"/>
      <c r="Q604" s="604"/>
      <c r="R604" s="601"/>
      <c r="S604" s="287"/>
      <c r="T604" s="604"/>
      <c r="U604" s="142" t="s">
        <v>180</v>
      </c>
      <c r="V604" s="415"/>
      <c r="W604" s="319"/>
      <c r="X604" s="320" t="str">
        <f>IF(W604=[19]Listas!$B$46,[19]Listas!$C$46,IF(W604=[19]Listas!$B$47,[19]Listas!$C$47,IF(W604=[19]Listas!$B$48,[19]Listas!$C$48,"")))</f>
        <v/>
      </c>
      <c r="Y604" s="321" t="str">
        <f>IF(OR(W604=[19]Listas!$F$53,W604=[19]Listas!$F$54),[19]Listas!$G$53,IF(W604=[19]Listas!$F$55,[19]Listas!$G$55,""))</f>
        <v/>
      </c>
      <c r="Z604" s="319"/>
      <c r="AA604" s="182" t="str">
        <f>+IF(Z604=[19]Listas!$E$46,[19]Listas!$F$46,IF(Z604=[19]Listas!$E$47,[19]Listas!$F$47,""))</f>
        <v/>
      </c>
      <c r="AB604" s="183" t="str">
        <f>IFERROR(X604+AA604,"")</f>
        <v/>
      </c>
      <c r="AC604" s="319"/>
      <c r="AD604" s="322"/>
      <c r="AE604" s="323"/>
      <c r="AF604" s="305" t="str">
        <f t="shared" si="90"/>
        <v>Muy baja</v>
      </c>
      <c r="AG604" s="145">
        <f>IF(Y604=[19]Listas!$G$53,AG603-(AG603*AB604),AG603)</f>
        <v>0.12</v>
      </c>
      <c r="AH604" s="562"/>
      <c r="AI604" s="305" t="str">
        <f t="shared" si="88"/>
        <v>Menor</v>
      </c>
      <c r="AJ604" s="145">
        <f>IF(Y604=[19]Listas!$G$55,AJ603-(AJ603*AB604),AJ603)</f>
        <v>0.4</v>
      </c>
      <c r="AK604" s="562"/>
      <c r="AL604" s="565"/>
      <c r="AM604" s="565"/>
      <c r="AN604" s="565"/>
      <c r="AO604" s="568"/>
      <c r="AP604" s="571"/>
      <c r="AQ604" s="344"/>
      <c r="AR604" s="191"/>
    </row>
    <row r="605" spans="2:44" ht="15.65" hidden="1" customHeight="1" thickBot="1" x14ac:dyDescent="0.4">
      <c r="B605" s="537"/>
      <c r="C605" s="560"/>
      <c r="D605" s="574"/>
      <c r="E605" s="577"/>
      <c r="F605" s="646"/>
      <c r="G605" s="663"/>
      <c r="H605" s="666"/>
      <c r="I605" s="589"/>
      <c r="J605" s="589"/>
      <c r="K605" s="592"/>
      <c r="L605" s="589"/>
      <c r="M605" s="595"/>
      <c r="N605" s="598"/>
      <c r="O605" s="601"/>
      <c r="P605" s="595"/>
      <c r="Q605" s="604"/>
      <c r="R605" s="601"/>
      <c r="S605" s="287"/>
      <c r="T605" s="604"/>
      <c r="U605" s="142" t="s">
        <v>190</v>
      </c>
      <c r="V605" s="415"/>
      <c r="W605" s="319"/>
      <c r="X605" s="320" t="str">
        <f>IF(W605=[19]Listas!$B$46,[19]Listas!$C$46,IF(W605=[19]Listas!$B$47,[19]Listas!$C$47,IF(W605=[19]Listas!$B$48,[19]Listas!$C$48,"")))</f>
        <v/>
      </c>
      <c r="Y605" s="321" t="str">
        <f>IF(OR(W605=[19]Listas!$F$53,W605=[19]Listas!$F$54),[19]Listas!$G$53,IF(W605=[19]Listas!$F$55,[19]Listas!$G$55,""))</f>
        <v/>
      </c>
      <c r="Z605" s="319"/>
      <c r="AA605" s="182" t="str">
        <f>+IF(Z605=[19]Listas!$E$46,[19]Listas!$F$46,IF(Z605=[19]Listas!$E$47,[19]Listas!$F$47,""))</f>
        <v/>
      </c>
      <c r="AB605" s="183" t="str">
        <f t="shared" ref="AB605:AB611" si="92">IFERROR(X605+AA605,"")</f>
        <v/>
      </c>
      <c r="AC605" s="319"/>
      <c r="AD605" s="322"/>
      <c r="AE605" s="323"/>
      <c r="AF605" s="305" t="str">
        <f t="shared" si="90"/>
        <v>Muy baja</v>
      </c>
      <c r="AG605" s="145">
        <f>IF(Y605=[19]Listas!$G$53,AG604-(AG604*AB605),AG604)</f>
        <v>0.12</v>
      </c>
      <c r="AH605" s="562"/>
      <c r="AI605" s="305" t="str">
        <f t="shared" si="88"/>
        <v>Menor</v>
      </c>
      <c r="AJ605" s="145">
        <f>IF(Y605=[19]Listas!$G$55,AJ604-(AJ604*AB605),AJ604)</f>
        <v>0.4</v>
      </c>
      <c r="AK605" s="562"/>
      <c r="AL605" s="565"/>
      <c r="AM605" s="565"/>
      <c r="AN605" s="565"/>
      <c r="AO605" s="568"/>
      <c r="AP605" s="571"/>
      <c r="AQ605" s="344"/>
      <c r="AR605" s="191"/>
    </row>
    <row r="606" spans="2:44" ht="15.65" hidden="1" customHeight="1" thickBot="1" x14ac:dyDescent="0.4">
      <c r="B606" s="537"/>
      <c r="C606" s="560"/>
      <c r="D606" s="574"/>
      <c r="E606" s="577"/>
      <c r="F606" s="646"/>
      <c r="G606" s="663"/>
      <c r="H606" s="666"/>
      <c r="I606" s="589"/>
      <c r="J606" s="589"/>
      <c r="K606" s="592"/>
      <c r="L606" s="589"/>
      <c r="M606" s="595"/>
      <c r="N606" s="598"/>
      <c r="O606" s="601"/>
      <c r="P606" s="595"/>
      <c r="Q606" s="604"/>
      <c r="R606" s="601"/>
      <c r="S606" s="287"/>
      <c r="T606" s="604"/>
      <c r="U606" s="142" t="s">
        <v>198</v>
      </c>
      <c r="V606" s="415"/>
      <c r="W606" s="319"/>
      <c r="X606" s="320" t="str">
        <f>IF(W606=[19]Listas!$B$46,[19]Listas!$C$46,IF(W606=[19]Listas!$B$47,[19]Listas!$C$47,IF(W606=[19]Listas!$B$48,[19]Listas!$C$48,"")))</f>
        <v/>
      </c>
      <c r="Y606" s="321" t="str">
        <f>IF(OR(W606=[19]Listas!$F$53,W606=[19]Listas!$F$54),[19]Listas!$G$53,IF(W606=[19]Listas!$F$55,[19]Listas!$G$55,""))</f>
        <v/>
      </c>
      <c r="Z606" s="319"/>
      <c r="AA606" s="182" t="str">
        <f>+IF(Z606=[19]Listas!$E$46,[19]Listas!$F$46,IF(Z606=[19]Listas!$E$47,[19]Listas!$F$47,""))</f>
        <v/>
      </c>
      <c r="AB606" s="183" t="str">
        <f t="shared" si="92"/>
        <v/>
      </c>
      <c r="AC606" s="319"/>
      <c r="AD606" s="322"/>
      <c r="AE606" s="323"/>
      <c r="AF606" s="305" t="str">
        <f t="shared" si="90"/>
        <v>Muy baja</v>
      </c>
      <c r="AG606" s="145">
        <f>IF(Y606=[19]Listas!$G$53,AG605-(AG605*AB606),AG605)</f>
        <v>0.12</v>
      </c>
      <c r="AH606" s="562"/>
      <c r="AI606" s="305" t="str">
        <f t="shared" si="88"/>
        <v>Menor</v>
      </c>
      <c r="AJ606" s="145">
        <f>IF(Y606=[19]Listas!$G$55,AJ605-(AJ605*AB606),AJ605)</f>
        <v>0.4</v>
      </c>
      <c r="AK606" s="562"/>
      <c r="AL606" s="565"/>
      <c r="AM606" s="565"/>
      <c r="AN606" s="565"/>
      <c r="AO606" s="568"/>
      <c r="AP606" s="571"/>
      <c r="AQ606" s="344"/>
      <c r="AR606" s="191"/>
    </row>
    <row r="607" spans="2:44" ht="16" hidden="1" customHeight="1" thickBot="1" x14ac:dyDescent="0.4">
      <c r="B607" s="537"/>
      <c r="C607" s="560"/>
      <c r="D607" s="574"/>
      <c r="E607" s="577"/>
      <c r="F607" s="646"/>
      <c r="G607" s="663"/>
      <c r="H607" s="666"/>
      <c r="I607" s="589"/>
      <c r="J607" s="589"/>
      <c r="K607" s="592"/>
      <c r="L607" s="589"/>
      <c r="M607" s="595"/>
      <c r="N607" s="598"/>
      <c r="O607" s="601"/>
      <c r="P607" s="595"/>
      <c r="Q607" s="604"/>
      <c r="R607" s="601"/>
      <c r="S607" s="288"/>
      <c r="T607" s="604"/>
      <c r="U607" s="142" t="s">
        <v>208</v>
      </c>
      <c r="V607" s="415"/>
      <c r="W607" s="319"/>
      <c r="X607" s="320" t="str">
        <f>IF(W607=[19]Listas!$B$46,[19]Listas!$C$46,IF(W607=[19]Listas!$B$47,[19]Listas!$C$47,IF(W607=[19]Listas!$B$48,[19]Listas!$C$48,"")))</f>
        <v/>
      </c>
      <c r="Y607" s="321" t="str">
        <f>IF(OR(W607=[19]Listas!$F$53,W607=[19]Listas!$F$54),[19]Listas!$G$53,IF(W607=[19]Listas!$F$55,[19]Listas!$G$55,""))</f>
        <v/>
      </c>
      <c r="Z607" s="319"/>
      <c r="AA607" s="182" t="str">
        <f>+IF(Z607=[19]Listas!$E$46,[19]Listas!$F$46,IF(Z607=[19]Listas!$E$47,[19]Listas!$F$47,""))</f>
        <v/>
      </c>
      <c r="AB607" s="183" t="str">
        <f t="shared" si="92"/>
        <v/>
      </c>
      <c r="AC607" s="319"/>
      <c r="AD607" s="322"/>
      <c r="AE607" s="323"/>
      <c r="AF607" s="305" t="str">
        <f t="shared" si="90"/>
        <v>Muy baja</v>
      </c>
      <c r="AG607" s="145">
        <f>IF(Y607=[19]Listas!$G$53,AG606-(AG606*AB607),AG606)</f>
        <v>0.12</v>
      </c>
      <c r="AH607" s="562"/>
      <c r="AI607" s="305" t="str">
        <f t="shared" si="88"/>
        <v>Menor</v>
      </c>
      <c r="AJ607" s="145">
        <f>IF(Y607=[19]Listas!$G$55,AJ606-(AJ606*AB607),AJ606)</f>
        <v>0.4</v>
      </c>
      <c r="AK607" s="562"/>
      <c r="AL607" s="565"/>
      <c r="AM607" s="565"/>
      <c r="AN607" s="565"/>
      <c r="AO607" s="568"/>
      <c r="AP607" s="571"/>
      <c r="AQ607" s="344"/>
      <c r="AR607" s="191"/>
    </row>
    <row r="608" spans="2:44" ht="15.65" hidden="1" customHeight="1" thickBot="1" x14ac:dyDescent="0.4">
      <c r="B608" s="537"/>
      <c r="C608" s="560"/>
      <c r="D608" s="574"/>
      <c r="E608" s="577"/>
      <c r="F608" s="646"/>
      <c r="G608" s="663"/>
      <c r="H608" s="666"/>
      <c r="I608" s="589"/>
      <c r="J608" s="589"/>
      <c r="K608" s="592"/>
      <c r="L608" s="589"/>
      <c r="M608" s="595"/>
      <c r="N608" s="598"/>
      <c r="O608" s="601"/>
      <c r="P608" s="595"/>
      <c r="Q608" s="604"/>
      <c r="R608" s="601"/>
      <c r="S608" s="289"/>
      <c r="T608" s="604"/>
      <c r="U608" s="142" t="s">
        <v>215</v>
      </c>
      <c r="V608" s="418"/>
      <c r="W608" s="331"/>
      <c r="X608" s="320" t="str">
        <f>IF(W608=[19]Listas!$B$46,[19]Listas!$C$46,IF(W608=[19]Listas!$B$47,[19]Listas!$C$47,IF(W608=[19]Listas!$B$48,[19]Listas!$C$48,"")))</f>
        <v/>
      </c>
      <c r="Y608" s="321" t="str">
        <f>IF(OR(W608=[19]Listas!$F$53,W608=[19]Listas!$F$54),[19]Listas!$G$53,IF(W608=[19]Listas!$F$55,[19]Listas!$G$55,""))</f>
        <v/>
      </c>
      <c r="Z608" s="331"/>
      <c r="AA608" s="182" t="str">
        <f>+IF(Z608=[19]Listas!$E$46,[19]Listas!$F$46,IF(Z608=[19]Listas!$E$47,[19]Listas!$F$47,""))</f>
        <v/>
      </c>
      <c r="AB608" s="183" t="str">
        <f t="shared" si="92"/>
        <v/>
      </c>
      <c r="AC608" s="319"/>
      <c r="AD608" s="322"/>
      <c r="AE608" s="323"/>
      <c r="AF608" s="305" t="str">
        <f t="shared" si="90"/>
        <v>Muy baja</v>
      </c>
      <c r="AG608" s="145">
        <f>IF(Y608=[19]Listas!$G$53,AG607-(AG607*AB608),AG607)</f>
        <v>0.12</v>
      </c>
      <c r="AH608" s="562"/>
      <c r="AI608" s="305" t="str">
        <f t="shared" si="88"/>
        <v>Menor</v>
      </c>
      <c r="AJ608" s="145">
        <f>IF(Y608=[19]Listas!$G$55,AJ607-(AJ607*AB608),AJ607)</f>
        <v>0.4</v>
      </c>
      <c r="AK608" s="562"/>
      <c r="AL608" s="565"/>
      <c r="AM608" s="565"/>
      <c r="AN608" s="565"/>
      <c r="AO608" s="568"/>
      <c r="AP608" s="571"/>
      <c r="AQ608" s="344"/>
      <c r="AR608" s="191"/>
    </row>
    <row r="609" spans="2:70" ht="15.65" hidden="1" customHeight="1" thickBot="1" x14ac:dyDescent="0.4">
      <c r="B609" s="537"/>
      <c r="C609" s="560"/>
      <c r="D609" s="574"/>
      <c r="E609" s="577"/>
      <c r="F609" s="646"/>
      <c r="G609" s="663"/>
      <c r="H609" s="666"/>
      <c r="I609" s="589"/>
      <c r="J609" s="589"/>
      <c r="K609" s="592"/>
      <c r="L609" s="589"/>
      <c r="M609" s="595"/>
      <c r="N609" s="598"/>
      <c r="O609" s="601"/>
      <c r="P609" s="595"/>
      <c r="Q609" s="604"/>
      <c r="R609" s="601"/>
      <c r="S609" s="289"/>
      <c r="T609" s="604"/>
      <c r="U609" s="142" t="s">
        <v>220</v>
      </c>
      <c r="V609" s="418"/>
      <c r="W609" s="331"/>
      <c r="X609" s="320" t="str">
        <f>IF(W609=[19]Listas!$B$46,[19]Listas!$C$46,IF(W609=[19]Listas!$B$47,[19]Listas!$C$47,IF(W609=[19]Listas!$B$48,[19]Listas!$C$48,"")))</f>
        <v/>
      </c>
      <c r="Y609" s="321" t="str">
        <f>IF(OR(W609=[19]Listas!$F$53,W609=[19]Listas!$F$54),[19]Listas!$G$53,IF(W609=[19]Listas!$F$55,[19]Listas!$G$55,""))</f>
        <v/>
      </c>
      <c r="Z609" s="331"/>
      <c r="AA609" s="182" t="str">
        <f>+IF(Z609=[19]Listas!$E$46,[19]Listas!$F$46,IF(Z609=[19]Listas!$E$47,[19]Listas!$F$47,""))</f>
        <v/>
      </c>
      <c r="AB609" s="183" t="str">
        <f t="shared" si="92"/>
        <v/>
      </c>
      <c r="AC609" s="319"/>
      <c r="AD609" s="322"/>
      <c r="AE609" s="323"/>
      <c r="AF609" s="305" t="str">
        <f t="shared" si="90"/>
        <v>Muy baja</v>
      </c>
      <c r="AG609" s="145">
        <f>IF(Y609=[19]Listas!$G$53,AG608-(AG608*AB609),AG608)</f>
        <v>0.12</v>
      </c>
      <c r="AH609" s="562"/>
      <c r="AI609" s="305" t="str">
        <f t="shared" si="88"/>
        <v>Menor</v>
      </c>
      <c r="AJ609" s="145">
        <f>IF(Y609=[19]Listas!$G$55,AJ608-(AJ608*AB609),AJ608)</f>
        <v>0.4</v>
      </c>
      <c r="AK609" s="562"/>
      <c r="AL609" s="565"/>
      <c r="AM609" s="565"/>
      <c r="AN609" s="565"/>
      <c r="AO609" s="568"/>
      <c r="AP609" s="571"/>
      <c r="AQ609" s="344"/>
      <c r="AR609" s="191"/>
    </row>
    <row r="610" spans="2:70" ht="15.65" hidden="1" customHeight="1" thickBot="1" x14ac:dyDescent="0.4">
      <c r="B610" s="537"/>
      <c r="C610" s="560"/>
      <c r="D610" s="574"/>
      <c r="E610" s="577"/>
      <c r="F610" s="646"/>
      <c r="G610" s="663"/>
      <c r="H610" s="666"/>
      <c r="I610" s="589"/>
      <c r="J610" s="589"/>
      <c r="K610" s="592"/>
      <c r="L610" s="589"/>
      <c r="M610" s="595"/>
      <c r="N610" s="598"/>
      <c r="O610" s="601"/>
      <c r="P610" s="595"/>
      <c r="Q610" s="604"/>
      <c r="R610" s="601"/>
      <c r="S610" s="289"/>
      <c r="T610" s="604"/>
      <c r="U610" s="142" t="s">
        <v>223</v>
      </c>
      <c r="V610" s="418"/>
      <c r="W610" s="331"/>
      <c r="X610" s="320" t="str">
        <f>IF(W610=[19]Listas!$B$46,[19]Listas!$C$46,IF(W610=[19]Listas!$B$47,[19]Listas!$C$47,IF(W610=[19]Listas!$B$48,[19]Listas!$C$48,"")))</f>
        <v/>
      </c>
      <c r="Y610" s="321" t="str">
        <f>IF(OR(W610=[19]Listas!$F$53,W610=[19]Listas!$F$54),[19]Listas!$G$53,IF(W610=[19]Listas!$F$55,[19]Listas!$G$55,""))</f>
        <v/>
      </c>
      <c r="Z610" s="331"/>
      <c r="AA610" s="182" t="str">
        <f>+IF(Z610=[19]Listas!$E$46,[19]Listas!$F$46,IF(Z610=[19]Listas!$E$47,[19]Listas!$F$47,""))</f>
        <v/>
      </c>
      <c r="AB610" s="183" t="str">
        <f t="shared" si="92"/>
        <v/>
      </c>
      <c r="AC610" s="319"/>
      <c r="AD610" s="322"/>
      <c r="AE610" s="323"/>
      <c r="AF610" s="305" t="str">
        <f t="shared" si="90"/>
        <v>Muy baja</v>
      </c>
      <c r="AG610" s="145">
        <f>IF(Y610=[19]Listas!$G$53,AG609-(AG609*AB610),AG609)</f>
        <v>0.12</v>
      </c>
      <c r="AH610" s="562"/>
      <c r="AI610" s="305" t="str">
        <f t="shared" si="88"/>
        <v>Menor</v>
      </c>
      <c r="AJ610" s="145">
        <f>IF(Y610=[19]Listas!$G$55,AJ609-(AJ609*AB610),AJ609)</f>
        <v>0.4</v>
      </c>
      <c r="AK610" s="562"/>
      <c r="AL610" s="565"/>
      <c r="AM610" s="565"/>
      <c r="AN610" s="565"/>
      <c r="AO610" s="568"/>
      <c r="AP610" s="571"/>
      <c r="AQ610" s="344"/>
      <c r="AR610" s="191"/>
    </row>
    <row r="611" spans="2:70" ht="32.15" customHeight="1" thickTop="1" thickBot="1" x14ac:dyDescent="0.4">
      <c r="B611" s="537"/>
      <c r="C611" s="560"/>
      <c r="D611" s="575"/>
      <c r="E611" s="578"/>
      <c r="F611" s="647"/>
      <c r="G611" s="664"/>
      <c r="H611" s="667"/>
      <c r="I611" s="590"/>
      <c r="J611" s="590"/>
      <c r="K611" s="593"/>
      <c r="L611" s="590"/>
      <c r="M611" s="596"/>
      <c r="N611" s="599"/>
      <c r="O611" s="602"/>
      <c r="P611" s="596"/>
      <c r="Q611" s="605"/>
      <c r="R611" s="602"/>
      <c r="S611" s="293"/>
      <c r="T611" s="605"/>
      <c r="U611" s="202" t="s">
        <v>224</v>
      </c>
      <c r="V611" s="416"/>
      <c r="W611" s="335"/>
      <c r="X611" s="336" t="str">
        <f>IF(W611=[19]Listas!$B$46,[19]Listas!$C$46,IF(W611=[19]Listas!$B$47,[19]Listas!$C$47,IF(W611=[19]Listas!$B$48,[19]Listas!$C$48,"")))</f>
        <v/>
      </c>
      <c r="Y611" s="337" t="str">
        <f>IF(OR(W611=[19]Listas!$F$53,W611=[19]Listas!$F$54),[19]Listas!$G$53,IF(W611=[19]Listas!$F$55,[19]Listas!$G$55,""))</f>
        <v/>
      </c>
      <c r="Z611" s="335"/>
      <c r="AA611" s="186" t="str">
        <f>+IF(Z611=[19]Listas!$E$46,[19]Listas!$F$46,IF(Z611=[19]Listas!$E$47,[19]Listas!$F$47,""))</f>
        <v/>
      </c>
      <c r="AB611" s="187" t="str">
        <f t="shared" si="92"/>
        <v/>
      </c>
      <c r="AC611" s="338"/>
      <c r="AD611" s="339"/>
      <c r="AE611" s="340"/>
      <c r="AF611" s="311" t="str">
        <f t="shared" si="90"/>
        <v>Muy baja</v>
      </c>
      <c r="AG611" s="179">
        <f>IF(Y611=[19]Listas!$G$53,AG610-(AG610*AB611),AG610)</f>
        <v>0.12</v>
      </c>
      <c r="AH611" s="563"/>
      <c r="AI611" s="311" t="str">
        <f t="shared" si="88"/>
        <v>Menor</v>
      </c>
      <c r="AJ611" s="179">
        <f>IF(Y611=[19]Listas!$G$55,AJ610-(AJ610*AB611),AJ610)</f>
        <v>0.4</v>
      </c>
      <c r="AK611" s="563"/>
      <c r="AL611" s="566"/>
      <c r="AM611" s="566"/>
      <c r="AN611" s="566"/>
      <c r="AO611" s="569"/>
      <c r="AP611" s="572"/>
      <c r="AQ611" s="346"/>
      <c r="AR611" s="192"/>
    </row>
    <row r="612" spans="2:70" ht="331.5" customHeight="1" thickTop="1" thickBot="1" x14ac:dyDescent="0.4">
      <c r="B612" s="537"/>
      <c r="C612" s="560"/>
      <c r="D612" s="573" t="s">
        <v>752</v>
      </c>
      <c r="E612" s="576" t="s">
        <v>5</v>
      </c>
      <c r="F612" s="624" t="s">
        <v>753</v>
      </c>
      <c r="G612" s="627" t="s">
        <v>710</v>
      </c>
      <c r="H612" s="627" t="s">
        <v>754</v>
      </c>
      <c r="I612" s="588" t="s">
        <v>20</v>
      </c>
      <c r="J612" s="621" t="s">
        <v>712</v>
      </c>
      <c r="K612" s="591" t="s">
        <v>729</v>
      </c>
      <c r="L612" s="588" t="s">
        <v>186</v>
      </c>
      <c r="M612" s="594" t="s">
        <v>214</v>
      </c>
      <c r="N612" s="597" t="str">
        <f>+IF(M612="","",IF(M612=$BO$15,$BN$15,IF(M612=$BO$16,$BN$16,IF(M612=$BO$17,$BN$17,IF(M612=$BO$18,$BN$18,IF(M612=$BO$19,$BN$19))))))</f>
        <v>Media</v>
      </c>
      <c r="O612" s="600">
        <f>+IF(M612="","",IF(M612=$BO$15,$BR$15,IF(M612=$BO$16,$BR$16,IF(M612=$BO$17,$BR$17,IF(M612=$BO$18,$BR$18,IF(M612=$BO$19,$BR$19))))))</f>
        <v>0.6</v>
      </c>
      <c r="P612" s="594" t="s">
        <v>212</v>
      </c>
      <c r="Q612" s="603" t="str">
        <f>+IF(P612="","",IF(P612='[19]Mapa de Calor inherente'!$AF$6,'[19]Mapa de Calor inherente'!$AD$6,IF(P612='[19]Mapa de Calor inherente'!$AF$7,'[19]Mapa de Calor inherente'!$AD$7,IF(P612='[19]Mapa de Calor inherente'!$AF$8,'[19]Mapa de Calor inherente'!$AD$8,IF(P612='[19]Mapa de Calor inherente'!$AF$9,'[19]Mapa de Calor inherente'!$AD$9,IF(P612='[19]Mapa de Calor inherente'!$AF$10,'[19]Mapa de Calor inherente'!$AD$10,IF(P612='[19]Mapa de Calor inherente'!$AG$6,'[19]Mapa de Calor inherente'!$AD$6,IF(P612='[19]Mapa de Calor inherente'!$AG$7,'[19]Mapa de Calor inherente'!$AD$7,IF(P612='[19]Mapa de Calor inherente'!$AG$8,'[19]Mapa de Calor inherente'!$AD$8,IF(P612='[19]Mapa de Calor inherente'!$AG$9,'[19]Mapa de Calor inherente'!$AD$9,IF(P612='[19]Mapa de Calor inherente'!$AG$10,'[19]Mapa de Calor inherente'!$AD$10,IF(P612='[19]Mapa de Calor inherente'!$AD$8,'[19]Mapa de Calor inherente'!$AD$8,IF(P612='[19]Mapa de Calor inherente'!$AD$9,'[19]Mapa de Calor inherente'!$AD$9,IF(P612='[19]Mapa de Calor inherente'!$AD$10,'[19]Mapa de Calor inherente'!$AD$10))))))))))))))</f>
        <v>Moderado</v>
      </c>
      <c r="R612" s="600">
        <f>+IF(P612="","",IF(P612='[19]Mapa de Calor inherente'!$AF$6,'[19]Mapa de Calor inherente'!$AE$6,IF(P612='[19]Mapa de Calor inherente'!$AF$7,'[19]Mapa de Calor inherente'!$AE$7,IF(P612='[19]Mapa de Calor inherente'!$AF$8,'[19]Mapa de Calor inherente'!$AE$8,IF(P612='[19]Mapa de Calor inherente'!$AF$9,'[19]Mapa de Calor inherente'!$AE$9,IF(P612='[19]Mapa de Calor inherente'!$AF$10,'[19]Mapa de Calor inherente'!$AE$10,IF(P612='[19]Mapa de Calor inherente'!$AG$6,'[19]Mapa de Calor inherente'!$AE$6,IF(P612='[19]Mapa de Calor inherente'!$AG$7,'[19]Mapa de Calor inherente'!$AE$7,IF(P612='[19]Mapa de Calor inherente'!$AG$8,'[19]Mapa de Calor inherente'!$AE$8,IF(P612='[19]Mapa de Calor inherente'!$AG$9,'[19]Mapa de Calor inherente'!$AE$9,IF(P612='[19]Mapa de Calor inherente'!$AG$10,'[19]Mapa de Calor inherente'!$AE$10,IF(P612='[19]Mapa de Calor inherente'!$AD$8,'[19]Mapa de Calor inherente'!$AE$8,IF(P612='[19]Mapa de Calor inherente'!$AD$9,'[19]Mapa de Calor inherente'!$AE$9,IF(P612='[19]Mapa de Calor inherente'!$AD$10,'[19]Mapa de Calor inherente'!$AE$10))))))))))))))</f>
        <v>0.6</v>
      </c>
      <c r="S612" s="292" t="e">
        <f>IF(N612="","",IF(R612="","",(N612*R612)))</f>
        <v>#VALUE!</v>
      </c>
      <c r="T612" s="603" t="str">
        <f>+IF(N612=$BB$17,IF(Q612=$BC$16,$BC$17,IF(Q612=$BD$16,$BD$17,IF(Q612=$BE$16,$BE$17,IF(Q612=$BF$16,$BF$17,IF(Q612=$BG$16,$BG$17))))),IF(N612=$BB$18,IF(Q612=$BC$16,$BC$18,IF(Q612=$BD$16,$BD$18,IF(Q612=$BE$16,$BE$18,IF(Q612=$BF$16,$BF$18,IF(Q612=$BG$16,$BG$18))))),IF(N612=$BB$19,IF(Q612=$BC$16,$BC$19,IF(Q612=$BD$16,$BD$19,IF(Q612=$BE$16,$BE$19,IF(Q612=$BF$16,$BF$19,IF(Q612=$BG$16,$BG$19))))),IF(N612=$BB$20,IF(Q612=$BC$16,$BC$20,IF(Q612=$BD$16,$BD$20,IF(Q612=$BE$16,$BE$20,IF(Q612=$BF$16,$BF$20,IF(Q612=$BG$16,$BG$20))))),IF(N612=$BB$21,IF(Q612=$BC$16,$BC$21,IF(Q612=$BD$16,$BD$21,IF(Q612=$BE$16,$BE$21,IF(Q612=$BF$16,$BF$21,IF(Q612=$BG$16,$BG$21))))),"")))))</f>
        <v>Moderado</v>
      </c>
      <c r="U612" s="139" t="s">
        <v>171</v>
      </c>
      <c r="V612" s="492" t="s">
        <v>755</v>
      </c>
      <c r="W612" s="313" t="s">
        <v>40</v>
      </c>
      <c r="X612" s="314">
        <f>IF(W612=[19]Listas!$B$46,[19]Listas!$C$46,IF(W612=[19]Listas!$B$47,[19]Listas!$C$47,IF(W612=[19]Listas!$B$48,[19]Listas!$C$48,"")))</f>
        <v>0.25</v>
      </c>
      <c r="Y612" s="315" t="str">
        <f>IF(OR(W612=[19]Listas!$F$53,W612=[19]Listas!$F$54),[19]Listas!$G$53,IF(W612=[19]Listas!$F$55,[19]Listas!$G$55,""))</f>
        <v>Probabilidad</v>
      </c>
      <c r="Z612" s="313" t="s">
        <v>43</v>
      </c>
      <c r="AA612" s="314">
        <f>+IF(Z612=[19]Listas!$E$46,[19]Listas!$F$46,IF(Z612=[19]Listas!$E$47,[19]Listas!$F$47,""))</f>
        <v>0.15</v>
      </c>
      <c r="AB612" s="181">
        <f>IFERROR(X612+AA612,"")</f>
        <v>0.4</v>
      </c>
      <c r="AC612" s="313" t="s">
        <v>57</v>
      </c>
      <c r="AD612" s="316" t="s">
        <v>58</v>
      </c>
      <c r="AE612" s="317" t="s">
        <v>59</v>
      </c>
      <c r="AF612" s="299" t="str">
        <f t="shared" si="90"/>
        <v>Baja</v>
      </c>
      <c r="AG612" s="141">
        <f>IF(Y612=[19]Listas!$G$53,O612-(O612*AB612),O612)</f>
        <v>0.36</v>
      </c>
      <c r="AH612" s="561">
        <f>+IF(AG621="","",AG621)</f>
        <v>0.36</v>
      </c>
      <c r="AI612" s="299" t="str">
        <f>IF(AJ612="","",IF(AJ612&lt;=20%,"Leve",IF(AJ612&lt;=40%,"Menor",IF(AJ612&lt;=60%,"Moderado",IF(AJ612&lt;=80%,"Mayor","Catastrófico")))))</f>
        <v>Moderado</v>
      </c>
      <c r="AJ612" s="141">
        <f>IF(Y612=[19]Listas!$G$55,R612-(R612*AB612),R612)</f>
        <v>0.6</v>
      </c>
      <c r="AK612" s="561">
        <f>+IF(AJ621="","",AJ621)</f>
        <v>0.6</v>
      </c>
      <c r="AL612" s="564" t="str">
        <f>+IF(AH612=0,"",IF(AH612&lt;=$BA$21,$BB$21,IF(AH612&lt;=$BA$20,$BB$20,IF(AH612&lt;=$BA$19,$BB$19,IF(AH612&lt;=$BA$18,$BB$18,IF(AH612&lt;=$BA$17,$BB$17,""))))))</f>
        <v>Baja</v>
      </c>
      <c r="AM612" s="564" t="str">
        <f>+IF(AK612=0,"",IF(AK612&lt;=$BC$15,$BC$16,IF(AK612&lt;=$BD$15,$BD$16,IF(AK612&lt;=$BE$15,$BE$16,IF(AK612&lt;=$BF$15,$BF$16,IF(AK612&lt;=$BG$15,$BG$16,""))))))</f>
        <v>Moderado</v>
      </c>
      <c r="AN612" s="564" t="str">
        <f>IF(AL612=$BB$17,IF(AM612=$BC$16,$BC$17,IF(AM612=$BD$16,$BD$17,IF(AM612=$BE$16,$BE$17,IF(AM612=$BF$16,$BF$17,IF(AM612=$BG$16,$BG$17))))),IF(AL612=$BB$18,IF(AM612=$BC$16,$BC$18,IF(AM612=$BD$16,$BD$18,IF(AM612=$BE$16,$BE$18,IF(AM612=$BF$16,$BF$18,IF(AM612=$BG$16,$BG$18))))),IF(AL612=$BB$19,IF(AM612=$BC$16,$BC$19,IF(AM612=$BD$16,$BD$19,IF(AM612=$BE$16,$BE$19,IF(AM612=$BF$16,$BF$19,IF(AM612=$BG$16,$BG$19))))),IF(AL612=$BB$20,IF(AM612=$BC$16,$BC$20,IF(AM612=$BD$16,$BD$20,IF(AM612=$BE$16,$BE$20,IF(AM612=$BF$16,$BF$20,IF(AM612=$BG$16,$BG$20))))),IF(AL612=$BB$21,IF(AM612=$BC$16,$BC$21,IF(AM612=$BD$16,$BD$21,IF(AM612=$BE$16,$BE$21,IF(AM612=$BF$16,$BF$21,IF(AM612=$BG$16,$BG$21))))),"")))))</f>
        <v>Moderado</v>
      </c>
      <c r="AO612" s="567" t="str">
        <f>IF(AP612="","",IF(AP612=[19]Listas!$F$61,[19]Listas!$G$61,IF(AP612=[19]Listas!$F$63,[19]Listas!$G$63,IF(AP612=[19]Listas!$F$64,[19]Listas!$G$64))))</f>
        <v>Requiere Plan de Acción</v>
      </c>
      <c r="AP612" s="570" t="str">
        <f>IF(AN612="","",IF(OR(AN612=[19]Listas!$E$61,AN612=[19]Listas!$E$62),[19]Listas!$F$61,IF(AN612=[19]Listas!$E$63,[19]Listas!$F$63,IF(AN612=[19]Listas!$E$64,[19]Listas!$F$64))))</f>
        <v>Aceptar o reducir el riesgo</v>
      </c>
      <c r="AQ612" s="358" t="s">
        <v>80</v>
      </c>
      <c r="AR612" s="407" t="s">
        <v>715</v>
      </c>
    </row>
    <row r="613" spans="2:70" ht="15" hidden="1" customHeight="1" thickBot="1" x14ac:dyDescent="0.4">
      <c r="B613" s="537"/>
      <c r="C613" s="280"/>
      <c r="D613" s="574"/>
      <c r="E613" s="577"/>
      <c r="F613" s="625"/>
      <c r="G613" s="628"/>
      <c r="H613" s="628"/>
      <c r="I613" s="589"/>
      <c r="J613" s="622"/>
      <c r="K613" s="592"/>
      <c r="L613" s="589"/>
      <c r="M613" s="595"/>
      <c r="N613" s="598"/>
      <c r="O613" s="601"/>
      <c r="P613" s="595"/>
      <c r="Q613" s="604"/>
      <c r="R613" s="601"/>
      <c r="S613" s="286"/>
      <c r="T613" s="604"/>
      <c r="U613" s="142" t="s">
        <v>174</v>
      </c>
      <c r="V613" s="415"/>
      <c r="W613" s="331"/>
      <c r="X613" s="320" t="str">
        <f>IF(W613=[19]Listas!$B$46,[19]Listas!$C$46,IF(W613=[19]Listas!$B$47,[19]Listas!$C$47,IF(W613=[19]Listas!$B$48,[19]Listas!$C$48,"")))</f>
        <v/>
      </c>
      <c r="Y613" s="321" t="str">
        <f>IF(OR(W613=[19]Listas!$F$53,W613=[19]Listas!$F$54),[19]Listas!$G$53,IF(W613=[19]Listas!$F$55,[19]Listas!$G$55,""))</f>
        <v/>
      </c>
      <c r="Z613" s="319"/>
      <c r="AA613" s="182" t="str">
        <f>+IF(Z613=[19]Listas!$E$46,[19]Listas!$F$46,IF(Z613=[19]Listas!$E$47,[19]Listas!$F$47,""))</f>
        <v/>
      </c>
      <c r="AB613" s="183" t="str">
        <f>IFERROR(X613+AA613,"")</f>
        <v/>
      </c>
      <c r="AC613" s="319"/>
      <c r="AD613" s="322"/>
      <c r="AE613" s="323"/>
      <c r="AF613" s="305" t="str">
        <f t="shared" si="90"/>
        <v>Baja</v>
      </c>
      <c r="AG613" s="145">
        <f>IF(Y613=[19]Listas!$G$53,AG612-(AG612*AB613),AG612)</f>
        <v>0.36</v>
      </c>
      <c r="AH613" s="562"/>
      <c r="AI613" s="305" t="str">
        <f t="shared" ref="AI613:AI621" si="93">IF(AJ613="","",IF(AJ613&lt;=20%,"Leve",IF(AJ613&lt;=40%,"Menor",IF(AJ613&lt;=60%,"Moderado",IF(AJ613&lt;=80%,"Mayor","Catastrófico")))))</f>
        <v>Moderado</v>
      </c>
      <c r="AJ613" s="145">
        <f>IF(Y613=[19]Listas!$G$55,AJ612-(AJ612*AB613),AJ612)</f>
        <v>0.6</v>
      </c>
      <c r="AK613" s="562"/>
      <c r="AL613" s="565"/>
      <c r="AM613" s="565"/>
      <c r="AN613" s="565"/>
      <c r="AO613" s="568"/>
      <c r="AP613" s="571"/>
      <c r="AQ613" s="343"/>
      <c r="AR613" s="191"/>
    </row>
    <row r="614" spans="2:70" ht="15" hidden="1" customHeight="1" thickBot="1" x14ac:dyDescent="0.4">
      <c r="B614" s="537"/>
      <c r="C614" s="280"/>
      <c r="D614" s="574"/>
      <c r="E614" s="577"/>
      <c r="F614" s="625"/>
      <c r="G614" s="628"/>
      <c r="H614" s="628"/>
      <c r="I614" s="589"/>
      <c r="J614" s="622"/>
      <c r="K614" s="592"/>
      <c r="L614" s="589"/>
      <c r="M614" s="595"/>
      <c r="N614" s="598"/>
      <c r="O614" s="601"/>
      <c r="P614" s="595"/>
      <c r="Q614" s="604"/>
      <c r="R614" s="601"/>
      <c r="S614" s="287"/>
      <c r="T614" s="604"/>
      <c r="U614" s="142" t="s">
        <v>180</v>
      </c>
      <c r="V614" s="415"/>
      <c r="W614" s="331"/>
      <c r="X614" s="320" t="str">
        <f>IF(W614=[19]Listas!$B$46,[19]Listas!$C$46,IF(W614=[19]Listas!$B$47,[19]Listas!$C$47,IF(W614=[19]Listas!$B$48,[19]Listas!$C$48,"")))</f>
        <v/>
      </c>
      <c r="Y614" s="321" t="str">
        <f>IF(OR(W614=[19]Listas!$F$53,W614=[19]Listas!$F$54),[19]Listas!$G$53,IF(W614=[19]Listas!$F$55,[19]Listas!$G$55,""))</f>
        <v/>
      </c>
      <c r="Z614" s="319"/>
      <c r="AA614" s="182" t="str">
        <f>+IF(Z614=[19]Listas!$E$46,[19]Listas!$F$46,IF(Z614=[19]Listas!$E$47,[19]Listas!$F$47,""))</f>
        <v/>
      </c>
      <c r="AB614" s="183" t="str">
        <f>IFERROR(X614+AA614,"")</f>
        <v/>
      </c>
      <c r="AC614" s="325"/>
      <c r="AD614" s="326"/>
      <c r="AE614" s="327"/>
      <c r="AF614" s="305" t="str">
        <f t="shared" si="90"/>
        <v>Baja</v>
      </c>
      <c r="AG614" s="145">
        <f>IF(Y614=[19]Listas!$G$53,AG613-(AG613*AB614),AG613)</f>
        <v>0.36</v>
      </c>
      <c r="AH614" s="562"/>
      <c r="AI614" s="305" t="str">
        <f t="shared" si="93"/>
        <v>Moderado</v>
      </c>
      <c r="AJ614" s="145">
        <f>IF(Y614=[19]Listas!$G$55,AJ613-(AJ613*AB614),AJ613)</f>
        <v>0.6</v>
      </c>
      <c r="AK614" s="562"/>
      <c r="AL614" s="565"/>
      <c r="AM614" s="565"/>
      <c r="AN614" s="565"/>
      <c r="AO614" s="568"/>
      <c r="AP614" s="571"/>
      <c r="AQ614" s="343"/>
      <c r="AR614" s="191"/>
    </row>
    <row r="615" spans="2:70" ht="15" hidden="1" customHeight="1" thickTop="1" thickBot="1" x14ac:dyDescent="0.4">
      <c r="B615" s="537"/>
      <c r="C615" s="280"/>
      <c r="D615" s="574"/>
      <c r="E615" s="577"/>
      <c r="F615" s="625"/>
      <c r="G615" s="628"/>
      <c r="H615" s="628"/>
      <c r="I615" s="589"/>
      <c r="J615" s="622"/>
      <c r="K615" s="592"/>
      <c r="L615" s="589"/>
      <c r="M615" s="595"/>
      <c r="N615" s="598"/>
      <c r="O615" s="601"/>
      <c r="P615" s="595"/>
      <c r="Q615" s="604"/>
      <c r="R615" s="601"/>
      <c r="S615" s="287"/>
      <c r="T615" s="604"/>
      <c r="U615" s="142" t="s">
        <v>190</v>
      </c>
      <c r="V615" s="415"/>
      <c r="W615" s="331"/>
      <c r="X615" s="320" t="str">
        <f>IF(W615=[19]Listas!$B$46,[19]Listas!$C$46,IF(W615=[19]Listas!$B$47,[19]Listas!$C$47,IF(W615=[19]Listas!$B$48,[19]Listas!$C$48,"")))</f>
        <v/>
      </c>
      <c r="Y615" s="321" t="str">
        <f>IF(OR(W615=[19]Listas!$F$53,W615=[19]Listas!$F$54),[19]Listas!$G$53,IF(W615=[19]Listas!$F$55,[19]Listas!$G$55,""))</f>
        <v/>
      </c>
      <c r="Z615" s="319"/>
      <c r="AA615" s="182" t="str">
        <f>+IF(Z615=[19]Listas!$E$46,[19]Listas!$F$46,IF(Z615=[19]Listas!$E$47,[19]Listas!$F$47,""))</f>
        <v/>
      </c>
      <c r="AB615" s="183" t="str">
        <f t="shared" ref="AB615:AB621" si="94">IFERROR(X615+AA615,"")</f>
        <v/>
      </c>
      <c r="AC615" s="328"/>
      <c r="AD615" s="329"/>
      <c r="AE615" s="330"/>
      <c r="AF615" s="305" t="str">
        <f t="shared" si="90"/>
        <v>Baja</v>
      </c>
      <c r="AG615" s="145">
        <f>IF(Y615=[19]Listas!$G$53,AG614-(AG614*AB615),AG614)</f>
        <v>0.36</v>
      </c>
      <c r="AH615" s="562"/>
      <c r="AI615" s="305" t="str">
        <f t="shared" si="93"/>
        <v>Moderado</v>
      </c>
      <c r="AJ615" s="145">
        <f>IF(Y615=[19]Listas!$G$55,AJ614-(AJ614*AB615),AJ614)</f>
        <v>0.6</v>
      </c>
      <c r="AK615" s="562"/>
      <c r="AL615" s="565"/>
      <c r="AM615" s="565"/>
      <c r="AN615" s="565"/>
      <c r="AO615" s="568"/>
      <c r="AP615" s="571"/>
      <c r="AQ615" s="343"/>
      <c r="AR615" s="191"/>
    </row>
    <row r="616" spans="2:70" ht="15" hidden="1" customHeight="1" thickTop="1" thickBot="1" x14ac:dyDescent="0.4">
      <c r="B616" s="537"/>
      <c r="C616" s="280"/>
      <c r="D616" s="574"/>
      <c r="E616" s="577"/>
      <c r="F616" s="625"/>
      <c r="G616" s="628"/>
      <c r="H616" s="628"/>
      <c r="I616" s="589"/>
      <c r="J616" s="622"/>
      <c r="K616" s="592"/>
      <c r="L616" s="589"/>
      <c r="M616" s="595"/>
      <c r="N616" s="598"/>
      <c r="O616" s="601"/>
      <c r="P616" s="595"/>
      <c r="Q616" s="604"/>
      <c r="R616" s="601"/>
      <c r="S616" s="287"/>
      <c r="T616" s="604"/>
      <c r="U616" s="142" t="s">
        <v>198</v>
      </c>
      <c r="V616" s="415"/>
      <c r="W616" s="331"/>
      <c r="X616" s="320" t="str">
        <f>IF(W616=[19]Listas!$B$46,[19]Listas!$C$46,IF(W616=[19]Listas!$B$47,[19]Listas!$C$47,IF(W616=[19]Listas!$B$48,[19]Listas!$C$48,"")))</f>
        <v/>
      </c>
      <c r="Y616" s="321" t="str">
        <f>IF(OR(W616=[19]Listas!$F$53,W616=[19]Listas!$F$54),[19]Listas!$G$53,IF(W616=[19]Listas!$F$55,[19]Listas!$G$55,""))</f>
        <v/>
      </c>
      <c r="Z616" s="319"/>
      <c r="AA616" s="182" t="str">
        <f>+IF(Z616=[19]Listas!$E$46,[19]Listas!$F$46,IF(Z616=[19]Listas!$E$47,[19]Listas!$F$47,""))</f>
        <v/>
      </c>
      <c r="AB616" s="183" t="str">
        <f t="shared" si="94"/>
        <v/>
      </c>
      <c r="AC616" s="319"/>
      <c r="AD616" s="322"/>
      <c r="AE616" s="323"/>
      <c r="AF616" s="305" t="str">
        <f t="shared" si="90"/>
        <v>Baja</v>
      </c>
      <c r="AG616" s="145">
        <f>IF(Y616=[19]Listas!$G$53,AG615-(AG615*AB616),AG615)</f>
        <v>0.36</v>
      </c>
      <c r="AH616" s="562"/>
      <c r="AI616" s="305" t="str">
        <f t="shared" si="93"/>
        <v>Moderado</v>
      </c>
      <c r="AJ616" s="145">
        <f>IF(Y616=[19]Listas!$G$55,AJ615-(AJ615*AB616),AJ615)</f>
        <v>0.6</v>
      </c>
      <c r="AK616" s="562"/>
      <c r="AL616" s="565"/>
      <c r="AM616" s="565"/>
      <c r="AN616" s="565"/>
      <c r="AO616" s="568"/>
      <c r="AP616" s="571"/>
      <c r="AQ616" s="344"/>
      <c r="AR616" s="191"/>
    </row>
    <row r="617" spans="2:70" ht="15.75" hidden="1" customHeight="1" thickTop="1" thickBot="1" x14ac:dyDescent="0.4">
      <c r="B617" s="537"/>
      <c r="C617" s="280"/>
      <c r="D617" s="574"/>
      <c r="E617" s="577"/>
      <c r="F617" s="625"/>
      <c r="G617" s="628"/>
      <c r="H617" s="628"/>
      <c r="I617" s="589"/>
      <c r="J617" s="622"/>
      <c r="K617" s="592"/>
      <c r="L617" s="589"/>
      <c r="M617" s="595"/>
      <c r="N617" s="598"/>
      <c r="O617" s="601"/>
      <c r="P617" s="595"/>
      <c r="Q617" s="604"/>
      <c r="R617" s="601"/>
      <c r="S617" s="288"/>
      <c r="T617" s="604"/>
      <c r="U617" s="142" t="s">
        <v>208</v>
      </c>
      <c r="V617" s="418"/>
      <c r="W617" s="331"/>
      <c r="X617" s="320" t="str">
        <f>IF(W617=[19]Listas!$B$46,[19]Listas!$C$46,IF(W617=[19]Listas!$B$47,[19]Listas!$C$47,IF(W617=[19]Listas!$B$48,[19]Listas!$C$48,"")))</f>
        <v/>
      </c>
      <c r="Y617" s="321" t="str">
        <f>IF(OR(W617=[19]Listas!$F$53,W617=[19]Listas!$F$54),[19]Listas!$G$53,IF(W617=[19]Listas!$F$55,[19]Listas!$G$55,""))</f>
        <v/>
      </c>
      <c r="Z617" s="319"/>
      <c r="AA617" s="182" t="str">
        <f>+IF(Z617=[19]Listas!$E$46,[19]Listas!$F$46,IF(Z617=[19]Listas!$E$47,[19]Listas!$F$47,""))</f>
        <v/>
      </c>
      <c r="AB617" s="183" t="str">
        <f t="shared" si="94"/>
        <v/>
      </c>
      <c r="AC617" s="319"/>
      <c r="AD617" s="322"/>
      <c r="AE617" s="323"/>
      <c r="AF617" s="305" t="str">
        <f t="shared" si="90"/>
        <v>Baja</v>
      </c>
      <c r="AG617" s="145">
        <f>IF(Y617=[19]Listas!$G$53,AG616-(AG616*AB617),AG616)</f>
        <v>0.36</v>
      </c>
      <c r="AH617" s="562"/>
      <c r="AI617" s="305" t="str">
        <f t="shared" si="93"/>
        <v>Moderado</v>
      </c>
      <c r="AJ617" s="145">
        <f>IF(Y617=[19]Listas!$G$55,AJ616-(AJ616*AB617),AJ616)</f>
        <v>0.6</v>
      </c>
      <c r="AK617" s="562"/>
      <c r="AL617" s="565"/>
      <c r="AM617" s="565"/>
      <c r="AN617" s="565"/>
      <c r="AO617" s="568"/>
      <c r="AP617" s="571"/>
      <c r="AQ617" s="343"/>
      <c r="AR617" s="191"/>
    </row>
    <row r="618" spans="2:70" ht="15" hidden="1" customHeight="1" thickTop="1" thickBot="1" x14ac:dyDescent="0.4">
      <c r="B618" s="537"/>
      <c r="C618" s="280"/>
      <c r="D618" s="574"/>
      <c r="E618" s="577"/>
      <c r="F618" s="625"/>
      <c r="G618" s="628"/>
      <c r="H618" s="628"/>
      <c r="I618" s="589"/>
      <c r="J618" s="622"/>
      <c r="K618" s="592"/>
      <c r="L618" s="589"/>
      <c r="M618" s="595"/>
      <c r="N618" s="598"/>
      <c r="O618" s="601"/>
      <c r="P618" s="595"/>
      <c r="Q618" s="604"/>
      <c r="R618" s="601"/>
      <c r="S618" s="289"/>
      <c r="T618" s="604"/>
      <c r="U618" s="142" t="s">
        <v>215</v>
      </c>
      <c r="V618" s="415"/>
      <c r="W618" s="319"/>
      <c r="X618" s="320" t="str">
        <f>IF(W618=[19]Listas!$B$46,[19]Listas!$C$46,IF(W618=[19]Listas!$B$47,[19]Listas!$C$47,IF(W618=[19]Listas!$B$48,[19]Listas!$C$48,"")))</f>
        <v/>
      </c>
      <c r="Y618" s="321" t="str">
        <f>IF(OR(W618=[19]Listas!$F$53,W618=[19]Listas!$F$54),[19]Listas!$G$53,IF(W618=[19]Listas!$F$55,[19]Listas!$G$55,""))</f>
        <v/>
      </c>
      <c r="Z618" s="319"/>
      <c r="AA618" s="182" t="str">
        <f>+IF(Z618=[19]Listas!$E$46,[19]Listas!$F$46,IF(Z618=[19]Listas!$E$47,[19]Listas!$F$47,""))</f>
        <v/>
      </c>
      <c r="AB618" s="183" t="str">
        <f t="shared" si="94"/>
        <v/>
      </c>
      <c r="AC618" s="319"/>
      <c r="AD618" s="322"/>
      <c r="AE618" s="323"/>
      <c r="AF618" s="305" t="str">
        <f t="shared" si="90"/>
        <v>Baja</v>
      </c>
      <c r="AG618" s="145">
        <f>IF(Y618=[19]Listas!$G$53,AG617-(AG617*AB618),AG617)</f>
        <v>0.36</v>
      </c>
      <c r="AH618" s="562"/>
      <c r="AI618" s="305" t="str">
        <f t="shared" si="93"/>
        <v>Moderado</v>
      </c>
      <c r="AJ618" s="145">
        <f>IF(Y618=[19]Listas!$G$55,AJ617-(AJ617*AB618),AJ617)</f>
        <v>0.6</v>
      </c>
      <c r="AK618" s="562"/>
      <c r="AL618" s="565"/>
      <c r="AM618" s="565"/>
      <c r="AN618" s="565"/>
      <c r="AO618" s="568"/>
      <c r="AP618" s="571"/>
      <c r="AQ618" s="343"/>
      <c r="AR618" s="191"/>
    </row>
    <row r="619" spans="2:70" ht="15" hidden="1" customHeight="1" thickTop="1" thickBot="1" x14ac:dyDescent="0.4">
      <c r="B619" s="537"/>
      <c r="C619" s="280"/>
      <c r="D619" s="574"/>
      <c r="E619" s="577"/>
      <c r="F619" s="625"/>
      <c r="G619" s="628"/>
      <c r="H619" s="628"/>
      <c r="I619" s="589"/>
      <c r="J619" s="622"/>
      <c r="K619" s="592"/>
      <c r="L619" s="589"/>
      <c r="M619" s="595"/>
      <c r="N619" s="598"/>
      <c r="O619" s="601"/>
      <c r="P619" s="595"/>
      <c r="Q619" s="604"/>
      <c r="R619" s="601"/>
      <c r="S619" s="289"/>
      <c r="T619" s="604"/>
      <c r="U619" s="142" t="s">
        <v>220</v>
      </c>
      <c r="V619" s="418"/>
      <c r="W619" s="331"/>
      <c r="X619" s="320" t="str">
        <f>IF(W619=[19]Listas!$B$46,[19]Listas!$C$46,IF(W619=[19]Listas!$B$47,[19]Listas!$C$47,IF(W619=[19]Listas!$B$48,[19]Listas!$C$48,"")))</f>
        <v/>
      </c>
      <c r="Y619" s="321" t="str">
        <f>IF(OR(W619=[19]Listas!$F$53,W619=[19]Listas!$F$54),[19]Listas!$G$53,IF(W619=[19]Listas!$F$55,[19]Listas!$G$55,""))</f>
        <v/>
      </c>
      <c r="Z619" s="319"/>
      <c r="AA619" s="182" t="str">
        <f>+IF(Z619=[19]Listas!$E$46,[19]Listas!$F$46,IF(Z619=[19]Listas!$E$47,[19]Listas!$F$47,""))</f>
        <v/>
      </c>
      <c r="AB619" s="183" t="str">
        <f t="shared" si="94"/>
        <v/>
      </c>
      <c r="AC619" s="319"/>
      <c r="AD619" s="322"/>
      <c r="AE619" s="323"/>
      <c r="AF619" s="305" t="str">
        <f t="shared" si="90"/>
        <v>Baja</v>
      </c>
      <c r="AG619" s="145">
        <f>IF(Y619=[19]Listas!$G$53,AG618-(AG618*AB619),AG618)</f>
        <v>0.36</v>
      </c>
      <c r="AH619" s="562"/>
      <c r="AI619" s="305" t="str">
        <f t="shared" si="93"/>
        <v>Moderado</v>
      </c>
      <c r="AJ619" s="145">
        <f>IF(Y619=[19]Listas!$G$55,AJ618-(AJ618*AB619),AJ618)</f>
        <v>0.6</v>
      </c>
      <c r="AK619" s="562"/>
      <c r="AL619" s="565"/>
      <c r="AM619" s="565"/>
      <c r="AN619" s="565"/>
      <c r="AO619" s="568"/>
      <c r="AP619" s="571"/>
      <c r="AQ619" s="344"/>
      <c r="AR619" s="191"/>
    </row>
    <row r="620" spans="2:70" ht="15" hidden="1" customHeight="1" thickTop="1" thickBot="1" x14ac:dyDescent="0.4">
      <c r="B620" s="537"/>
      <c r="C620" s="280"/>
      <c r="D620" s="574"/>
      <c r="E620" s="577"/>
      <c r="F620" s="625"/>
      <c r="G620" s="628"/>
      <c r="H620" s="628"/>
      <c r="I620" s="589"/>
      <c r="J620" s="622"/>
      <c r="K620" s="592"/>
      <c r="L620" s="589"/>
      <c r="M620" s="595"/>
      <c r="N620" s="598"/>
      <c r="O620" s="601"/>
      <c r="P620" s="595"/>
      <c r="Q620" s="604"/>
      <c r="R620" s="601"/>
      <c r="S620" s="289"/>
      <c r="T620" s="604"/>
      <c r="U620" s="142" t="s">
        <v>223</v>
      </c>
      <c r="V620" s="418"/>
      <c r="W620" s="331"/>
      <c r="X620" s="320" t="str">
        <f>IF(W620=[19]Listas!$B$46,[19]Listas!$C$46,IF(W620=[19]Listas!$B$47,[19]Listas!$C$47,IF(W620=[19]Listas!$B$48,[19]Listas!$C$48,"")))</f>
        <v/>
      </c>
      <c r="Y620" s="321" t="str">
        <f>IF(OR(W620=[19]Listas!$F$53,W620=[19]Listas!$F$54),[19]Listas!$G$53,IF(W620=[19]Listas!$F$55,[19]Listas!$G$55,""))</f>
        <v/>
      </c>
      <c r="Z620" s="319"/>
      <c r="AA620" s="182" t="str">
        <f>+IF(Z620=[19]Listas!$E$46,[19]Listas!$F$46,IF(Z620=[19]Listas!$E$47,[19]Listas!$F$47,""))</f>
        <v/>
      </c>
      <c r="AB620" s="183" t="str">
        <f t="shared" si="94"/>
        <v/>
      </c>
      <c r="AC620" s="319"/>
      <c r="AD620" s="322"/>
      <c r="AE620" s="323"/>
      <c r="AF620" s="305" t="str">
        <f t="shared" si="90"/>
        <v>Baja</v>
      </c>
      <c r="AG620" s="145">
        <f>IF(Y620=[19]Listas!$G$53,AG619-(AG619*AB620),AG619)</f>
        <v>0.36</v>
      </c>
      <c r="AH620" s="562"/>
      <c r="AI620" s="305" t="str">
        <f t="shared" si="93"/>
        <v>Moderado</v>
      </c>
      <c r="AJ620" s="145">
        <f>IF(Y620=[19]Listas!$G$55,AJ619-(AJ619*AB620),AJ619)</f>
        <v>0.6</v>
      </c>
      <c r="AK620" s="562"/>
      <c r="AL620" s="565"/>
      <c r="AM620" s="565"/>
      <c r="AN620" s="565"/>
      <c r="AO620" s="568"/>
      <c r="AP620" s="571"/>
      <c r="AQ620" s="343"/>
      <c r="AR620" s="191"/>
    </row>
    <row r="621" spans="2:70" ht="15.75" hidden="1" customHeight="1" thickTop="1" thickBot="1" x14ac:dyDescent="0.4">
      <c r="B621" s="537"/>
      <c r="C621" s="280"/>
      <c r="D621" s="575"/>
      <c r="E621" s="578"/>
      <c r="F621" s="626"/>
      <c r="G621" s="629"/>
      <c r="H621" s="629"/>
      <c r="I621" s="590"/>
      <c r="J621" s="623"/>
      <c r="K621" s="593"/>
      <c r="L621" s="590"/>
      <c r="M621" s="596"/>
      <c r="N621" s="599"/>
      <c r="O621" s="602"/>
      <c r="P621" s="596"/>
      <c r="Q621" s="605"/>
      <c r="R621" s="602"/>
      <c r="S621" s="293"/>
      <c r="T621" s="605"/>
      <c r="U621" s="202" t="s">
        <v>224</v>
      </c>
      <c r="V621" s="416"/>
      <c r="W621" s="335"/>
      <c r="X621" s="336" t="str">
        <f>IF(W621=[19]Listas!$B$46,[19]Listas!$C$46,IF(W621=[19]Listas!$B$47,[19]Listas!$C$47,IF(W621=[19]Listas!$B$48,[19]Listas!$C$48,"")))</f>
        <v/>
      </c>
      <c r="Y621" s="337" t="str">
        <f>IF(OR(W621=[19]Listas!$F$53,W621=[19]Listas!$F$54),[19]Listas!$G$53,IF(W621=[19]Listas!$F$55,[19]Listas!$G$55,""))</f>
        <v/>
      </c>
      <c r="Z621" s="335"/>
      <c r="AA621" s="186" t="str">
        <f>+IF(Z621=[19]Listas!$E$46,[19]Listas!$F$46,IF(Z621=[19]Listas!$E$47,[19]Listas!$F$47,""))</f>
        <v/>
      </c>
      <c r="AB621" s="187" t="str">
        <f t="shared" si="94"/>
        <v/>
      </c>
      <c r="AC621" s="338"/>
      <c r="AD621" s="339"/>
      <c r="AE621" s="340"/>
      <c r="AF621" s="311" t="str">
        <f t="shared" si="90"/>
        <v>Baja</v>
      </c>
      <c r="AG621" s="179">
        <f>IF(Y621=[19]Listas!$G$53,AG620-(AG620*AB621),AG620)</f>
        <v>0.36</v>
      </c>
      <c r="AH621" s="563"/>
      <c r="AI621" s="311" t="str">
        <f t="shared" si="93"/>
        <v>Moderado</v>
      </c>
      <c r="AJ621" s="179">
        <f>IF(Y621=[19]Listas!$G$55,AJ620-(AJ620*AB621),AJ620)</f>
        <v>0.6</v>
      </c>
      <c r="AK621" s="563"/>
      <c r="AL621" s="566"/>
      <c r="AM621" s="566"/>
      <c r="AN621" s="566"/>
      <c r="AO621" s="569"/>
      <c r="AP621" s="572"/>
      <c r="AQ621" s="359"/>
      <c r="AR621" s="192"/>
    </row>
    <row r="622" spans="2:70" ht="229.5" customHeight="1" thickTop="1" thickBot="1" x14ac:dyDescent="0.4">
      <c r="B622" s="537"/>
      <c r="C622" s="560" t="s">
        <v>108</v>
      </c>
      <c r="D622" s="573" t="s">
        <v>756</v>
      </c>
      <c r="E622" s="576" t="s">
        <v>5</v>
      </c>
      <c r="F622" s="693" t="s">
        <v>757</v>
      </c>
      <c r="G622" s="694" t="s">
        <v>758</v>
      </c>
      <c r="H622" s="695" t="s">
        <v>759</v>
      </c>
      <c r="I622" s="588" t="s">
        <v>20</v>
      </c>
      <c r="J622" s="588" t="s">
        <v>22</v>
      </c>
      <c r="K622" s="591" t="s">
        <v>760</v>
      </c>
      <c r="L622" s="588" t="s">
        <v>168</v>
      </c>
      <c r="M622" s="594" t="s">
        <v>222</v>
      </c>
      <c r="N622" s="597" t="str">
        <f>+IF(M622="","",IF(M622=$BO$15,$BN$15,IF(M622=$BO$16,$BN$16,IF(M622=$BO$17,$BN$17,IF(M622=$BO$18,$BN$18,IF(M622=$BO$19,$BN$19))))))</f>
        <v>Muy Alta</v>
      </c>
      <c r="O622" s="600">
        <f>+IF(M622="","",IF(M622=$BO$15,$BR$15,IF(M622=$BO$16,$BR$16,IF(M622=$BO$17,$BR$17,IF(M622=$BO$18,$BR$18,IF(M622=$BO$19,$BR$19))))))</f>
        <v>1</v>
      </c>
      <c r="P622" s="594" t="s">
        <v>212</v>
      </c>
      <c r="Q622" s="603" t="str">
        <f>+IF(P622="","",IF(P622='[20]Mapa de Calor inherente'!$AF$6,'[20]Mapa de Calor inherente'!$AD$6,IF(P622='[20]Mapa de Calor inherente'!$AF$7,'[20]Mapa de Calor inherente'!$AD$7,IF(P622='[20]Mapa de Calor inherente'!$AF$8,'[20]Mapa de Calor inherente'!$AD$8,IF(P622='[20]Mapa de Calor inherente'!$AF$9,'[20]Mapa de Calor inherente'!$AD$9,IF(P622='[20]Mapa de Calor inherente'!$AF$10,'[20]Mapa de Calor inherente'!$AD$10,IF(P622='[20]Mapa de Calor inherente'!$AG$6,'[20]Mapa de Calor inherente'!$AD$6,IF(P622='[20]Mapa de Calor inherente'!$AG$7,'[20]Mapa de Calor inherente'!$AD$7,IF(P622='[20]Mapa de Calor inherente'!$AG$8,'[20]Mapa de Calor inherente'!$AD$8,IF(P622='[20]Mapa de Calor inherente'!$AG$9,'[20]Mapa de Calor inherente'!$AD$9,IF(P622='[20]Mapa de Calor inherente'!$AG$10,'[20]Mapa de Calor inherente'!$AD$10,IF(P622='[20]Mapa de Calor inherente'!$AD$8,'[20]Mapa de Calor inherente'!$AD$8,IF(P622='[20]Mapa de Calor inherente'!$AD$9,'[20]Mapa de Calor inherente'!$AD$9,IF(P622='[20]Mapa de Calor inherente'!$AD$10,'[20]Mapa de Calor inherente'!$AD$10))))))))))))))</f>
        <v>Moderado</v>
      </c>
      <c r="R622" s="600">
        <f>+IF(P622="","",IF(P622='[20]Mapa de Calor inherente'!$AF$6,'[20]Mapa de Calor inherente'!$AE$6,IF(P622='[20]Mapa de Calor inherente'!$AF$7,'[20]Mapa de Calor inherente'!$AE$7,IF(P622='[20]Mapa de Calor inherente'!$AF$8,'[20]Mapa de Calor inherente'!$AE$8,IF(P622='[20]Mapa de Calor inherente'!$AF$9,'[20]Mapa de Calor inherente'!$AE$9,IF(P622='[20]Mapa de Calor inherente'!$AF$10,'[20]Mapa de Calor inherente'!$AE$10,IF(P622='[20]Mapa de Calor inherente'!$AG$6,'[20]Mapa de Calor inherente'!$AE$6,IF(P622='[20]Mapa de Calor inherente'!$AG$7,'[20]Mapa de Calor inherente'!$AE$7,IF(P622='[20]Mapa de Calor inherente'!$AG$8,'[20]Mapa de Calor inherente'!$AE$8,IF(P622='[20]Mapa de Calor inherente'!$AG$9,'[20]Mapa de Calor inherente'!$AE$9,IF(P622='[20]Mapa de Calor inherente'!$AG$10,'[20]Mapa de Calor inherente'!$AE$10,IF(P622='[20]Mapa de Calor inherente'!$AD$8,'[20]Mapa de Calor inherente'!$AE$8,IF(P622='[20]Mapa de Calor inherente'!$AD$9,'[20]Mapa de Calor inherente'!$AE$9,IF(P622='[20]Mapa de Calor inherente'!$AD$10,'[20]Mapa de Calor inherente'!$AE$10))))))))))))))</f>
        <v>0.6</v>
      </c>
      <c r="S622" s="282">
        <f>IF(O622="","",IF(R622="","",(O622*R622)))</f>
        <v>0.6</v>
      </c>
      <c r="T622" s="603" t="str">
        <f>+IF(N622=$BB$17,IF(Q622=$BC$16,$BC$17,IF(Q622=$BD$16,$BD$17,IF(Q622=$BE$16,$BE$17,IF(Q622=$BF$16,$BF$17,IF(Q622=$BG$16,$BG$17))))),IF(N622=$BB$18,IF(Q622=$BC$16,$BC$18,IF(Q622=$BD$16,$BD$18,IF(Q622=$BE$16,$BE$18,IF(Q622=$BF$16,$BF$18,IF(Q622=$BG$16,$BG$18))))),IF(N622=$BB$19,IF(Q622=$BC$16,$BC$19,IF(Q622=$BD$16,$BD$19,IF(Q622=$BE$16,$BE$19,IF(Q622=$BF$16,$BF$19,IF(Q622=$BG$16,$BG$19))))),IF(N622=$BB$20,IF(Q622=$BC$16,$BC$20,IF(Q622=$BD$16,$BD$20,IF(Q622=$BE$16,$BE$20,IF(Q622=$BF$16,$BF$20,IF(Q622=$BG$16,$BG$20))))),IF(N622=$BB$21,IF(Q622=$BC$16,$BC$21,IF(Q622=$BD$16,$BD$21,IF(Q622=$BE$16,$BE$21,IF(Q622=$BF$16,$BF$21,IF(Q622=$BG$16,$BG$21))))),"")))))</f>
        <v>Alto</v>
      </c>
      <c r="U622" s="139" t="s">
        <v>171</v>
      </c>
      <c r="V622" s="493" t="s">
        <v>761</v>
      </c>
      <c r="W622" s="295" t="s">
        <v>40</v>
      </c>
      <c r="X622" s="296">
        <f>IF(W622=[20]Listas!$B$46,[20]Listas!$C$46,IF(W622=[20]Listas!$B$47,[20]Listas!$C$47,IF(W622=[20]Listas!$B$48,[20]Listas!$C$48,"")))</f>
        <v>0.25</v>
      </c>
      <c r="Y622" s="297" t="str">
        <f>IF(OR(W622=[20]Listas!$F$53,W622=[20]Listas!$F$54),[20]Listas!$G$53,IF(W622=[20]Listas!$F$55,[20]Listas!$G$55,""))</f>
        <v>Probabilidad</v>
      </c>
      <c r="Z622" s="295" t="s">
        <v>43</v>
      </c>
      <c r="AA622" s="296">
        <f>+IF(Z622=[20]Listas!$E$46,[20]Listas!$F$46,IF(Z622=[20]Listas!$E$47,[20]Listas!$F$47,""))</f>
        <v>0.15</v>
      </c>
      <c r="AB622" s="140">
        <f>IFERROR(X622+AA622,"")</f>
        <v>0.4</v>
      </c>
      <c r="AC622" s="291" t="s">
        <v>57</v>
      </c>
      <c r="AD622" s="295" t="s">
        <v>58</v>
      </c>
      <c r="AE622" s="298" t="s">
        <v>59</v>
      </c>
      <c r="AF622" s="299" t="str">
        <f t="shared" si="90"/>
        <v>Media</v>
      </c>
      <c r="AG622" s="141">
        <f>IF(Y622=[20]Listas!$G$53,O622-(O622*AB622),O622)</f>
        <v>0.6</v>
      </c>
      <c r="AH622" s="561">
        <f>+IF(AG631="","",AG631)</f>
        <v>0.216</v>
      </c>
      <c r="AI622" s="299" t="str">
        <f>IF(AJ622="","",IF(AJ622&lt;=20%,"Leve",IF(AJ622&lt;=40%,"Menor",IF(AJ622&lt;=60%,"Moderado",IF(AJ622&lt;=80%,"Mayor","Catastrófico")))))</f>
        <v>Moderado</v>
      </c>
      <c r="AJ622" s="141">
        <f>IF(Y622=[20]Listas!$G$55,R622-(R622*AB622),R622)</f>
        <v>0.6</v>
      </c>
      <c r="AK622" s="561">
        <f>+IF(AJ631="","",AJ631)</f>
        <v>0.6</v>
      </c>
      <c r="AL622" s="564" t="str">
        <f>+IF(AH622=0,"",IF(AH622&lt;=$BA$21,$BB$21,IF(AH622&lt;=$BA$20,$BB$20,IF(AH622&lt;=$BA$19,$BB$19,IF(AH622&lt;=$BA$18,$BB$18,IF(AH622&lt;=$BA$17,$BB$17,""))))))</f>
        <v>Baja</v>
      </c>
      <c r="AM622" s="564" t="str">
        <f>+IF(AK622=0,"",IF(AK622&lt;=$BC$15,$BC$16,IF(AK622&lt;=$BD$15,$BD$16,IF(AK622&lt;=$BE$15,$BE$16,IF(AK622&lt;=$BF$15,$BF$16,IF(AK622&lt;=$BG$15,$BG$16,""))))))</f>
        <v>Moderado</v>
      </c>
      <c r="AN622" s="564" t="str">
        <f>IF(AL622=$BB$17,IF(AM622=$BC$16,$BC$17,IF(AM622=$BD$16,$BD$17,IF(AM622=$BE$16,$BE$17,IF(AM622=$BF$16,$BF$17,IF(AM622=$BG$16,$BG$17))))),IF(AL622=$BB$18,IF(AM622=$BC$16,$BC$18,IF(AM622=$BD$16,$BD$18,IF(AM622=$BE$16,$BE$18,IF(AM622=$BF$16,$BF$18,IF(AM622=$BG$16,$BG$18))))),IF(AL622=$BB$19,IF(AM622=$BC$16,$BC$19,IF(AM622=$BD$16,$BD$19,IF(AM622=$BE$16,$BE$19,IF(AM622=$BF$16,$BF$19,IF(AM622=$BG$16,$BG$19))))),IF(AL622=$BB$20,IF(AM622=$BC$16,$BC$20,IF(AM622=$BD$16,$BD$20,IF(AM622=$BE$16,$BE$20,IF(AM622=$BF$16,$BF$20,IF(AM622=$BG$16,$BG$20))))),IF(AL622=$BB$21,IF(AM622=$BC$16,$BC$21,IF(AM622=$BD$16,$BD$21,IF(AM622=$BE$16,$BE$21,IF(AM622=$BF$16,$BF$21,IF(AM622=$BG$16,$BG$21))))),"")))))</f>
        <v>Moderado</v>
      </c>
      <c r="AO622" s="567" t="str">
        <f>IF(AP622="","",IF(AP622=[20]Listas!$F$61,[20]Listas!$G$61,IF(AP622=[20]Listas!$F$63,[20]Listas!$G$63,IF(AP622=[20]Listas!$F$64,[20]Listas!$G$64))))</f>
        <v>Requiere Plan de Acción</v>
      </c>
      <c r="AP622" s="630" t="str">
        <f>IF(AN622="","",IF(OR(AN622=[20]Listas!$E$61,AN622=[20]Listas!$E$62),[20]Listas!$F$61,IF(AN622=[20]Listas!$E$63,[20]Listas!$F$63,IF(AN622=[20]Listas!$E$64,[20]Listas!$F$64))))</f>
        <v>Aceptar o reducir el riesgo</v>
      </c>
      <c r="AQ622" s="300" t="s">
        <v>80</v>
      </c>
      <c r="AR622" s="252" t="s">
        <v>762</v>
      </c>
    </row>
    <row r="623" spans="2:70" ht="155" thickTop="1" thickBot="1" x14ac:dyDescent="0.35">
      <c r="B623" s="537"/>
      <c r="C623" s="560"/>
      <c r="D623" s="574"/>
      <c r="E623" s="577"/>
      <c r="F623" s="646"/>
      <c r="G623" s="663"/>
      <c r="H623" s="666"/>
      <c r="I623" s="589"/>
      <c r="J623" s="589"/>
      <c r="K623" s="592"/>
      <c r="L623" s="589"/>
      <c r="M623" s="595"/>
      <c r="N623" s="598"/>
      <c r="O623" s="601"/>
      <c r="P623" s="595"/>
      <c r="Q623" s="604"/>
      <c r="R623" s="601"/>
      <c r="S623" s="283"/>
      <c r="T623" s="604"/>
      <c r="U623" s="142" t="s">
        <v>174</v>
      </c>
      <c r="V623" s="494" t="s">
        <v>763</v>
      </c>
      <c r="W623" s="301" t="s">
        <v>40</v>
      </c>
      <c r="X623" s="302">
        <f>IF(W623=[20]Listas!$B$46,[20]Listas!$C$46,IF(W623=[20]Listas!$B$47,[20]Listas!$C$47,IF(W623=[20]Listas!$B$48,[20]Listas!$C$48,"")))</f>
        <v>0.25</v>
      </c>
      <c r="Y623" s="303" t="str">
        <f>IF(OR(W623=[20]Listas!$F$53,W623=[20]Listas!$F$54),[20]Listas!$G$53,IF(W623=[20]Listas!$F$55,[20]Listas!$G$55,""))</f>
        <v>Probabilidad</v>
      </c>
      <c r="Z623" s="301" t="s">
        <v>43</v>
      </c>
      <c r="AA623" s="143">
        <f>+IF(Z623=[20]Listas!$E$46,[20]Listas!$F$46,IF(Z623=[20]Listas!$E$47,[20]Listas!$F$47,""))</f>
        <v>0.15</v>
      </c>
      <c r="AB623" s="144">
        <f>IFERROR(X623+AA623,"")</f>
        <v>0.4</v>
      </c>
      <c r="AC623" s="301" t="s">
        <v>57</v>
      </c>
      <c r="AD623" s="301" t="s">
        <v>58</v>
      </c>
      <c r="AE623" s="304" t="s">
        <v>59</v>
      </c>
      <c r="AF623" s="305" t="str">
        <f t="shared" si="90"/>
        <v>Baja</v>
      </c>
      <c r="AG623" s="145">
        <f>IF(Y623=[20]Listas!$G$53,AG622-(AG622*AB623),AG622)</f>
        <v>0.36</v>
      </c>
      <c r="AH623" s="562"/>
      <c r="AI623" s="305" t="str">
        <f t="shared" ref="AI623:AI651" si="95">IF(AJ623="","",IF(AJ623&lt;=20%,"Leve",IF(AJ623&lt;=40%,"Menor",IF(AJ623&lt;=60%,"Moderado",IF(AJ623&lt;=80%,"Mayor","Catastrófico")))))</f>
        <v>Moderado</v>
      </c>
      <c r="AJ623" s="145">
        <f>IF(Y623=[20]Listas!$G$55,AJ622-(AJ622*AB623),AJ622)</f>
        <v>0.6</v>
      </c>
      <c r="AK623" s="562"/>
      <c r="AL623" s="565"/>
      <c r="AM623" s="565"/>
      <c r="AN623" s="565"/>
      <c r="AO623" s="568"/>
      <c r="AP623" s="631"/>
      <c r="AQ623" s="306" t="s">
        <v>90</v>
      </c>
      <c r="AR623" s="201" t="s">
        <v>764</v>
      </c>
      <c r="AZ623" s="633" t="s">
        <v>177</v>
      </c>
      <c r="BA623" s="634"/>
      <c r="BB623" s="634"/>
      <c r="BC623" s="634"/>
      <c r="BD623" s="634"/>
      <c r="BE623" s="634"/>
      <c r="BF623" s="634"/>
      <c r="BG623" s="635"/>
      <c r="BI623" s="636" t="s">
        <v>178</v>
      </c>
      <c r="BJ623" s="637"/>
      <c r="BK623" s="637"/>
      <c r="BL623" s="638"/>
      <c r="BN623" s="639" t="s">
        <v>179</v>
      </c>
      <c r="BO623" s="640"/>
      <c r="BP623" s="641"/>
      <c r="BQ623" s="641"/>
      <c r="BR623" s="642"/>
    </row>
    <row r="624" spans="2:70" ht="183" thickTop="1" thickBot="1" x14ac:dyDescent="0.35">
      <c r="B624" s="537"/>
      <c r="C624" s="560"/>
      <c r="D624" s="574"/>
      <c r="E624" s="577"/>
      <c r="F624" s="646"/>
      <c r="G624" s="663"/>
      <c r="H624" s="666"/>
      <c r="I624" s="589"/>
      <c r="J624" s="589"/>
      <c r="K624" s="592"/>
      <c r="L624" s="589"/>
      <c r="M624" s="595"/>
      <c r="N624" s="598"/>
      <c r="O624" s="601"/>
      <c r="P624" s="595"/>
      <c r="Q624" s="604"/>
      <c r="R624" s="601"/>
      <c r="S624" s="283"/>
      <c r="T624" s="604"/>
      <c r="U624" s="142" t="s">
        <v>180</v>
      </c>
      <c r="V624" s="495" t="s">
        <v>765</v>
      </c>
      <c r="W624" s="301" t="s">
        <v>40</v>
      </c>
      <c r="X624" s="302">
        <f>IF(W624=[20]Listas!$B$46,[20]Listas!$C$46,IF(W624=[20]Listas!$B$47,[20]Listas!$C$47,IF(W624=[20]Listas!$B$48,[20]Listas!$C$48,"")))</f>
        <v>0.25</v>
      </c>
      <c r="Y624" s="303" t="str">
        <f>IF(OR(W624=[20]Listas!$F$53,W624=[20]Listas!$F$54),[20]Listas!$G$53,IF(W624=[20]Listas!$F$55,[20]Listas!$G$55,""))</f>
        <v>Probabilidad</v>
      </c>
      <c r="Z624" s="301" t="s">
        <v>43</v>
      </c>
      <c r="AA624" s="143">
        <f>+IF(Z624=[20]Listas!$E$46,[20]Listas!$F$46,IF(Z624=[20]Listas!$E$47,[20]Listas!$F$47,""))</f>
        <v>0.15</v>
      </c>
      <c r="AB624" s="144">
        <f>IFERROR(X624+AA624,"")</f>
        <v>0.4</v>
      </c>
      <c r="AC624" s="301" t="s">
        <v>57</v>
      </c>
      <c r="AD624" s="301" t="s">
        <v>58</v>
      </c>
      <c r="AE624" s="304" t="s">
        <v>59</v>
      </c>
      <c r="AF624" s="305" t="str">
        <f t="shared" si="90"/>
        <v>Baja</v>
      </c>
      <c r="AG624" s="145">
        <f>IF(Y624=[20]Listas!$G$53,AG623-(AG623*AB624),AG623)</f>
        <v>0.216</v>
      </c>
      <c r="AH624" s="562"/>
      <c r="AI624" s="305" t="str">
        <f t="shared" si="95"/>
        <v>Moderado</v>
      </c>
      <c r="AJ624" s="145">
        <f>IF(Y624=[20]Listas!$G$55,AJ623-(AJ623*AB624),AJ623)</f>
        <v>0.6</v>
      </c>
      <c r="AK624" s="562"/>
      <c r="AL624" s="565"/>
      <c r="AM624" s="565"/>
      <c r="AN624" s="565"/>
      <c r="AO624" s="568"/>
      <c r="AP624" s="631"/>
      <c r="AQ624" s="306"/>
      <c r="AR624" s="191"/>
      <c r="AZ624" s="146"/>
      <c r="BA624" s="147"/>
      <c r="BB624" s="148"/>
      <c r="BC624" s="643" t="s">
        <v>70</v>
      </c>
      <c r="BD624" s="643"/>
      <c r="BE624" s="643"/>
      <c r="BF624" s="643"/>
      <c r="BG624" s="643"/>
      <c r="BI624" s="149" t="s">
        <v>183</v>
      </c>
      <c r="BJ624" s="150" t="s">
        <v>184</v>
      </c>
      <c r="BK624" s="150" t="s">
        <v>185</v>
      </c>
      <c r="BL624" s="151" t="s">
        <v>186</v>
      </c>
      <c r="BN624" s="149" t="s">
        <v>183</v>
      </c>
      <c r="BO624" s="150" t="s">
        <v>187</v>
      </c>
      <c r="BP624" s="152" t="s">
        <v>188</v>
      </c>
      <c r="BQ624" s="152" t="s">
        <v>189</v>
      </c>
      <c r="BR624" s="151" t="s">
        <v>60</v>
      </c>
    </row>
    <row r="625" spans="2:70" ht="15.75" hidden="1" customHeight="1" thickBot="1" x14ac:dyDescent="0.4">
      <c r="B625" s="537"/>
      <c r="C625" s="560"/>
      <c r="D625" s="574"/>
      <c r="E625" s="577"/>
      <c r="F625" s="646"/>
      <c r="G625" s="663"/>
      <c r="H625" s="666"/>
      <c r="I625" s="589"/>
      <c r="J625" s="589"/>
      <c r="K625" s="592"/>
      <c r="L625" s="589"/>
      <c r="M625" s="595"/>
      <c r="N625" s="598"/>
      <c r="O625" s="601"/>
      <c r="P625" s="595"/>
      <c r="Q625" s="604"/>
      <c r="R625" s="601"/>
      <c r="S625" s="283"/>
      <c r="T625" s="604"/>
      <c r="U625" s="142" t="s">
        <v>190</v>
      </c>
      <c r="V625" s="415"/>
      <c r="W625" s="301"/>
      <c r="X625" s="302" t="str">
        <f>IF(W625=[20]Listas!$B$46,[20]Listas!$C$46,IF(W625=[20]Listas!$B$47,[20]Listas!$C$47,IF(W625=[20]Listas!$B$48,[20]Listas!$C$48,"")))</f>
        <v/>
      </c>
      <c r="Y625" s="303" t="str">
        <f>IF(OR(W625=[20]Listas!$F$53,W625=[20]Listas!$F$54),[20]Listas!$G$53,IF(W625=[20]Listas!$F$55,[20]Listas!$G$55,""))</f>
        <v/>
      </c>
      <c r="Z625" s="301"/>
      <c r="AA625" s="143" t="str">
        <f>+IF(Z625=[20]Listas!$E$46,[20]Listas!$F$46,IF(Z625=[20]Listas!$E$47,[20]Listas!$F$47,""))</f>
        <v/>
      </c>
      <c r="AB625" s="144" t="str">
        <f t="shared" ref="AB625:AB631" si="96">IFERROR(X625+AA625,"")</f>
        <v/>
      </c>
      <c r="AC625" s="301"/>
      <c r="AD625" s="301"/>
      <c r="AE625" s="304"/>
      <c r="AF625" s="305" t="str">
        <f t="shared" si="90"/>
        <v>Baja</v>
      </c>
      <c r="AG625" s="145">
        <f>IF(Y625=[20]Listas!$G$53,AG624-(AG624*AB625),AG624)</f>
        <v>0.216</v>
      </c>
      <c r="AH625" s="562"/>
      <c r="AI625" s="305" t="str">
        <f t="shared" si="95"/>
        <v>Moderado</v>
      </c>
      <c r="AJ625" s="145">
        <f>IF(Y625=[20]Listas!$G$55,AJ624-(AJ624*AB625),AJ624)</f>
        <v>0.6</v>
      </c>
      <c r="AK625" s="562"/>
      <c r="AL625" s="565"/>
      <c r="AM625" s="565"/>
      <c r="AN625" s="565"/>
      <c r="AO625" s="568"/>
      <c r="AP625" s="631"/>
      <c r="AQ625" s="306"/>
      <c r="AR625" s="117"/>
      <c r="AZ625" s="153"/>
      <c r="BA625" s="154"/>
      <c r="BB625" s="155" t="s">
        <v>192</v>
      </c>
      <c r="BC625" s="156">
        <v>0.2</v>
      </c>
      <c r="BD625" s="156">
        <v>0.4</v>
      </c>
      <c r="BE625" s="156">
        <v>0.6</v>
      </c>
      <c r="BF625" s="156">
        <v>0.8</v>
      </c>
      <c r="BG625" s="156">
        <v>1</v>
      </c>
      <c r="BI625" s="157" t="s">
        <v>193</v>
      </c>
      <c r="BJ625" s="158">
        <v>0.2</v>
      </c>
      <c r="BK625" s="159" t="s">
        <v>194</v>
      </c>
      <c r="BL625" s="160" t="s">
        <v>195</v>
      </c>
      <c r="BN625" s="157" t="s">
        <v>196</v>
      </c>
      <c r="BO625" s="159" t="s">
        <v>197</v>
      </c>
      <c r="BP625" s="161">
        <v>0</v>
      </c>
      <c r="BQ625" s="161">
        <v>2</v>
      </c>
      <c r="BR625" s="162">
        <v>0.2</v>
      </c>
    </row>
    <row r="626" spans="2:70" ht="30.75" hidden="1" customHeight="1" thickBot="1" x14ac:dyDescent="0.4">
      <c r="B626" s="537"/>
      <c r="C626" s="560"/>
      <c r="D626" s="574"/>
      <c r="E626" s="577"/>
      <c r="F626" s="646"/>
      <c r="G626" s="663"/>
      <c r="H626" s="666"/>
      <c r="I626" s="589"/>
      <c r="J626" s="589"/>
      <c r="K626" s="592"/>
      <c r="L626" s="589"/>
      <c r="M626" s="595"/>
      <c r="N626" s="598"/>
      <c r="O626" s="601"/>
      <c r="P626" s="595"/>
      <c r="Q626" s="604"/>
      <c r="R626" s="601"/>
      <c r="S626" s="283"/>
      <c r="T626" s="604"/>
      <c r="U626" s="142" t="s">
        <v>198</v>
      </c>
      <c r="V626" s="415"/>
      <c r="W626" s="301"/>
      <c r="X626" s="302" t="str">
        <f>IF(W626=[20]Listas!$B$46,[20]Listas!$C$46,IF(W626=[20]Listas!$B$47,[20]Listas!$C$47,IF(W626=[20]Listas!$B$48,[20]Listas!$C$48,"")))</f>
        <v/>
      </c>
      <c r="Y626" s="303" t="str">
        <f>IF(OR(W626=[20]Listas!$F$53,W626=[20]Listas!$F$54),[20]Listas!$G$53,IF(W626=[20]Listas!$F$55,[20]Listas!$G$55,""))</f>
        <v/>
      </c>
      <c r="Z626" s="301"/>
      <c r="AA626" s="143" t="str">
        <f>+IF(Z626=[20]Listas!$E$46,[20]Listas!$F$46,IF(Z626=[20]Listas!$E$47,[20]Listas!$F$47,""))</f>
        <v/>
      </c>
      <c r="AB626" s="144" t="str">
        <f t="shared" si="96"/>
        <v/>
      </c>
      <c r="AC626" s="301"/>
      <c r="AD626" s="301"/>
      <c r="AE626" s="304"/>
      <c r="AF626" s="305" t="str">
        <f t="shared" si="90"/>
        <v>Baja</v>
      </c>
      <c r="AG626" s="145">
        <f>IF(Y626=[20]Listas!$G$53,AG625-(AG625*AB626),AG625)</f>
        <v>0.216</v>
      </c>
      <c r="AH626" s="562"/>
      <c r="AI626" s="305" t="str">
        <f t="shared" si="95"/>
        <v>Moderado</v>
      </c>
      <c r="AJ626" s="145">
        <f>IF(Y626=[20]Listas!$G$55,AJ625-(AJ625*AB626),AJ625)</f>
        <v>0.6</v>
      </c>
      <c r="AK626" s="562"/>
      <c r="AL626" s="565"/>
      <c r="AM626" s="565"/>
      <c r="AN626" s="565"/>
      <c r="AO626" s="568"/>
      <c r="AP626" s="631"/>
      <c r="AQ626" s="306"/>
      <c r="AR626" s="117"/>
      <c r="AZ626" s="153"/>
      <c r="BA626" s="154"/>
      <c r="BB626" s="163" t="s">
        <v>200</v>
      </c>
      <c r="BC626" s="164" t="s">
        <v>193</v>
      </c>
      <c r="BD626" s="164" t="s">
        <v>201</v>
      </c>
      <c r="BE626" s="164" t="s">
        <v>83</v>
      </c>
      <c r="BF626" s="164" t="s">
        <v>202</v>
      </c>
      <c r="BG626" s="164" t="s">
        <v>203</v>
      </c>
      <c r="BI626" s="165" t="s">
        <v>201</v>
      </c>
      <c r="BJ626" s="158">
        <v>0.4</v>
      </c>
      <c r="BK626" s="166" t="s">
        <v>204</v>
      </c>
      <c r="BL626" s="167" t="s">
        <v>205</v>
      </c>
      <c r="BN626" s="165" t="s">
        <v>206</v>
      </c>
      <c r="BO626" s="166" t="s">
        <v>207</v>
      </c>
      <c r="BP626" s="161">
        <v>3</v>
      </c>
      <c r="BQ626" s="161">
        <v>24</v>
      </c>
      <c r="BR626" s="162">
        <v>0.4</v>
      </c>
    </row>
    <row r="627" spans="2:70" ht="30.75" hidden="1" customHeight="1" thickBot="1" x14ac:dyDescent="0.4">
      <c r="B627" s="537"/>
      <c r="C627" s="560"/>
      <c r="D627" s="574"/>
      <c r="E627" s="577"/>
      <c r="F627" s="646"/>
      <c r="G627" s="663"/>
      <c r="H627" s="666"/>
      <c r="I627" s="589"/>
      <c r="J627" s="589"/>
      <c r="K627" s="592"/>
      <c r="L627" s="589"/>
      <c r="M627" s="595"/>
      <c r="N627" s="598"/>
      <c r="O627" s="601"/>
      <c r="P627" s="595"/>
      <c r="Q627" s="604"/>
      <c r="R627" s="601"/>
      <c r="S627" s="283"/>
      <c r="T627" s="604"/>
      <c r="U627" s="142" t="s">
        <v>208</v>
      </c>
      <c r="V627" s="415"/>
      <c r="W627" s="301"/>
      <c r="X627" s="302" t="str">
        <f>IF(W627=[20]Listas!$B$46,[20]Listas!$C$46,IF(W627=[20]Listas!$B$47,[20]Listas!$C$47,IF(W627=[20]Listas!$B$48,[20]Listas!$C$48,"")))</f>
        <v/>
      </c>
      <c r="Y627" s="303" t="str">
        <f>IF(OR(W627=[20]Listas!$F$53,W627=[20]Listas!$F$54),[20]Listas!$G$53,IF(W627=[20]Listas!$F$55,[20]Listas!$G$55,""))</f>
        <v/>
      </c>
      <c r="Z627" s="301"/>
      <c r="AA627" s="143" t="str">
        <f>+IF(Z627=[20]Listas!$E$46,[20]Listas!$F$46,IF(Z627=[20]Listas!$E$47,[20]Listas!$F$47,""))</f>
        <v/>
      </c>
      <c r="AB627" s="144" t="str">
        <f t="shared" si="96"/>
        <v/>
      </c>
      <c r="AC627" s="301"/>
      <c r="AD627" s="301"/>
      <c r="AE627" s="304"/>
      <c r="AF627" s="305" t="str">
        <f t="shared" si="90"/>
        <v>Baja</v>
      </c>
      <c r="AG627" s="145">
        <f>IF(Y627=[20]Listas!$G$53,AG626-(AG626*AB627),AG626)</f>
        <v>0.216</v>
      </c>
      <c r="AH627" s="562"/>
      <c r="AI627" s="305" t="str">
        <f t="shared" si="95"/>
        <v>Moderado</v>
      </c>
      <c r="AJ627" s="145">
        <f>IF(Y627=[20]Listas!$G$55,AJ626-(AJ626*AB627),AJ626)</f>
        <v>0.6</v>
      </c>
      <c r="AK627" s="562"/>
      <c r="AL627" s="565"/>
      <c r="AM627" s="565"/>
      <c r="AN627" s="565"/>
      <c r="AO627" s="568"/>
      <c r="AP627" s="631"/>
      <c r="AQ627" s="306"/>
      <c r="AR627" s="117"/>
      <c r="AZ627" s="644" t="s">
        <v>60</v>
      </c>
      <c r="BA627" s="168">
        <v>1</v>
      </c>
      <c r="BB627" s="164" t="s">
        <v>210</v>
      </c>
      <c r="BC627" s="169" t="s">
        <v>81</v>
      </c>
      <c r="BD627" s="169" t="s">
        <v>81</v>
      </c>
      <c r="BE627" s="169" t="s">
        <v>81</v>
      </c>
      <c r="BF627" s="169" t="s">
        <v>81</v>
      </c>
      <c r="BG627" s="170" t="s">
        <v>77</v>
      </c>
      <c r="BI627" s="171" t="s">
        <v>83</v>
      </c>
      <c r="BJ627" s="158">
        <v>0.6</v>
      </c>
      <c r="BK627" s="166" t="s">
        <v>211</v>
      </c>
      <c r="BL627" s="167" t="s">
        <v>212</v>
      </c>
      <c r="BN627" s="171" t="s">
        <v>213</v>
      </c>
      <c r="BO627" s="166" t="s">
        <v>214</v>
      </c>
      <c r="BP627" s="161">
        <v>25</v>
      </c>
      <c r="BQ627" s="161">
        <v>500</v>
      </c>
      <c r="BR627" s="162">
        <v>0.6</v>
      </c>
    </row>
    <row r="628" spans="2:70" ht="30.75" hidden="1" customHeight="1" thickBot="1" x14ac:dyDescent="0.4">
      <c r="B628" s="537"/>
      <c r="C628" s="560"/>
      <c r="D628" s="574"/>
      <c r="E628" s="577"/>
      <c r="F628" s="646"/>
      <c r="G628" s="663"/>
      <c r="H628" s="666"/>
      <c r="I628" s="589"/>
      <c r="J628" s="589"/>
      <c r="K628" s="592"/>
      <c r="L628" s="589"/>
      <c r="M628" s="595"/>
      <c r="N628" s="598"/>
      <c r="O628" s="601"/>
      <c r="P628" s="595"/>
      <c r="Q628" s="604"/>
      <c r="R628" s="601"/>
      <c r="S628" s="283"/>
      <c r="T628" s="604"/>
      <c r="U628" s="142" t="s">
        <v>215</v>
      </c>
      <c r="V628" s="418"/>
      <c r="W628" s="301"/>
      <c r="X628" s="302" t="str">
        <f>IF(W628=[20]Listas!$B$46,[20]Listas!$C$46,IF(W628=[20]Listas!$B$47,[20]Listas!$C$47,IF(W628=[20]Listas!$B$48,[20]Listas!$C$48,"")))</f>
        <v/>
      </c>
      <c r="Y628" s="303" t="str">
        <f>IF(OR(W628=[20]Listas!$F$53,W628=[20]Listas!$F$54),[20]Listas!$G$53,IF(W628=[20]Listas!$F$55,[20]Listas!$G$55,""))</f>
        <v/>
      </c>
      <c r="Z628" s="301"/>
      <c r="AA628" s="143" t="str">
        <f>+IF(Z628=[20]Listas!$E$46,[20]Listas!$F$46,IF(Z628=[20]Listas!$E$47,[20]Listas!$F$47,""))</f>
        <v/>
      </c>
      <c r="AB628" s="144" t="str">
        <f t="shared" si="96"/>
        <v/>
      </c>
      <c r="AC628" s="301"/>
      <c r="AD628" s="301"/>
      <c r="AE628" s="304"/>
      <c r="AF628" s="305" t="str">
        <f t="shared" si="90"/>
        <v>Baja</v>
      </c>
      <c r="AG628" s="145">
        <f>IF(Y628=[20]Listas!$G$53,AG627-(AG627*AB628),AG627)</f>
        <v>0.216</v>
      </c>
      <c r="AH628" s="562"/>
      <c r="AI628" s="305" t="str">
        <f t="shared" si="95"/>
        <v>Moderado</v>
      </c>
      <c r="AJ628" s="145">
        <f>IF(Y628=[20]Listas!$G$55,AJ627-(AJ627*AB628),AJ627)</f>
        <v>0.6</v>
      </c>
      <c r="AK628" s="562"/>
      <c r="AL628" s="565"/>
      <c r="AM628" s="565"/>
      <c r="AN628" s="565"/>
      <c r="AO628" s="568"/>
      <c r="AP628" s="631"/>
      <c r="AQ628" s="306"/>
      <c r="AR628" s="117"/>
      <c r="AZ628" s="644"/>
      <c r="BA628" s="168">
        <v>0.8</v>
      </c>
      <c r="BB628" s="164" t="s">
        <v>217</v>
      </c>
      <c r="BC628" s="172" t="s">
        <v>83</v>
      </c>
      <c r="BD628" s="172" t="s">
        <v>83</v>
      </c>
      <c r="BE628" s="169" t="s">
        <v>81</v>
      </c>
      <c r="BF628" s="169" t="s">
        <v>81</v>
      </c>
      <c r="BG628" s="170" t="s">
        <v>77</v>
      </c>
      <c r="BI628" s="173" t="s">
        <v>202</v>
      </c>
      <c r="BJ628" s="158">
        <v>0.8</v>
      </c>
      <c r="BK628" s="166" t="s">
        <v>218</v>
      </c>
      <c r="BL628" s="167" t="s">
        <v>219</v>
      </c>
      <c r="BN628" s="173" t="s">
        <v>217</v>
      </c>
      <c r="BO628" s="166" t="s">
        <v>169</v>
      </c>
      <c r="BP628" s="161">
        <v>5001</v>
      </c>
      <c r="BQ628" s="161">
        <v>5000</v>
      </c>
      <c r="BR628" s="162">
        <v>0.8</v>
      </c>
    </row>
    <row r="629" spans="2:70" ht="15" hidden="1" customHeight="1" thickTop="1" thickBot="1" x14ac:dyDescent="0.4">
      <c r="B629" s="537"/>
      <c r="C629" s="560"/>
      <c r="D629" s="574"/>
      <c r="E629" s="577"/>
      <c r="F629" s="646"/>
      <c r="G629" s="663"/>
      <c r="H629" s="666"/>
      <c r="I629" s="589"/>
      <c r="J629" s="589"/>
      <c r="K629" s="592"/>
      <c r="L629" s="589"/>
      <c r="M629" s="595"/>
      <c r="N629" s="598"/>
      <c r="O629" s="601"/>
      <c r="P629" s="595"/>
      <c r="Q629" s="604"/>
      <c r="R629" s="601"/>
      <c r="S629" s="283"/>
      <c r="T629" s="604"/>
      <c r="U629" s="142" t="s">
        <v>220</v>
      </c>
      <c r="V629" s="419"/>
      <c r="W629" s="301"/>
      <c r="X629" s="302" t="str">
        <f>IF(W629=[20]Listas!$B$46,[20]Listas!$C$46,IF(W629=[20]Listas!$B$47,[20]Listas!$C$47,IF(W629=[20]Listas!$B$48,[20]Listas!$C$48,"")))</f>
        <v/>
      </c>
      <c r="Y629" s="303" t="str">
        <f>IF(OR(W629=[20]Listas!$F$53,W629=[20]Listas!$F$54),[20]Listas!$G$53,IF(W629=[20]Listas!$F$55,[20]Listas!$G$55,""))</f>
        <v/>
      </c>
      <c r="Z629" s="301"/>
      <c r="AA629" s="143" t="str">
        <f>+IF(Z629=[20]Listas!$E$46,[20]Listas!$F$46,IF(Z629=[20]Listas!$E$47,[20]Listas!$F$47,""))</f>
        <v/>
      </c>
      <c r="AB629" s="144" t="str">
        <f t="shared" si="96"/>
        <v/>
      </c>
      <c r="AC629" s="301"/>
      <c r="AD629" s="301"/>
      <c r="AE629" s="304"/>
      <c r="AF629" s="305" t="str">
        <f t="shared" si="90"/>
        <v>Baja</v>
      </c>
      <c r="AG629" s="145">
        <f>IF(Y629=[20]Listas!$G$53,AG628-(AG628*AB629),AG628)</f>
        <v>0.216</v>
      </c>
      <c r="AH629" s="562"/>
      <c r="AI629" s="305" t="str">
        <f t="shared" si="95"/>
        <v>Moderado</v>
      </c>
      <c r="AJ629" s="145">
        <f>IF(Y629=[20]Listas!$G$55,AJ628-(AJ628*AB629),AJ628)</f>
        <v>0.6</v>
      </c>
      <c r="AK629" s="562"/>
      <c r="AL629" s="565"/>
      <c r="AM629" s="565"/>
      <c r="AN629" s="565"/>
      <c r="AO629" s="568"/>
      <c r="AP629" s="631"/>
      <c r="AQ629" s="306"/>
      <c r="AR629" s="117"/>
      <c r="AZ629" s="644"/>
      <c r="BA629" s="168">
        <v>0.6</v>
      </c>
      <c r="BB629" s="164" t="s">
        <v>213</v>
      </c>
      <c r="BC629" s="172" t="s">
        <v>83</v>
      </c>
      <c r="BD629" s="172" t="s">
        <v>83</v>
      </c>
      <c r="BE629" s="172" t="s">
        <v>83</v>
      </c>
      <c r="BF629" s="169" t="s">
        <v>81</v>
      </c>
      <c r="BG629" s="170" t="s">
        <v>77</v>
      </c>
      <c r="BI629" s="175" t="s">
        <v>203</v>
      </c>
      <c r="BJ629" s="158">
        <v>1</v>
      </c>
      <c r="BK629" s="166" t="s">
        <v>221</v>
      </c>
      <c r="BL629" s="167" t="s">
        <v>170</v>
      </c>
      <c r="BN629" s="175" t="s">
        <v>210</v>
      </c>
      <c r="BO629" s="166" t="s">
        <v>222</v>
      </c>
      <c r="BP629" s="161">
        <v>5001</v>
      </c>
      <c r="BQ629" s="161"/>
      <c r="BR629" s="162">
        <v>1</v>
      </c>
    </row>
    <row r="630" spans="2:70" ht="15" hidden="1" customHeight="1" thickTop="1" thickBot="1" x14ac:dyDescent="0.4">
      <c r="B630" s="537"/>
      <c r="C630" s="560"/>
      <c r="D630" s="574"/>
      <c r="E630" s="577"/>
      <c r="F630" s="646"/>
      <c r="G630" s="663"/>
      <c r="H630" s="666"/>
      <c r="I630" s="589"/>
      <c r="J630" s="589"/>
      <c r="K630" s="592"/>
      <c r="L630" s="589"/>
      <c r="M630" s="595"/>
      <c r="N630" s="598"/>
      <c r="O630" s="601"/>
      <c r="P630" s="595"/>
      <c r="Q630" s="604"/>
      <c r="R630" s="601"/>
      <c r="S630" s="283"/>
      <c r="T630" s="604"/>
      <c r="U630" s="142" t="s">
        <v>223</v>
      </c>
      <c r="V630" s="419"/>
      <c r="W630" s="301"/>
      <c r="X630" s="302" t="str">
        <f>IF(W630=[20]Listas!$B$46,[20]Listas!$C$46,IF(W630=[20]Listas!$B$47,[20]Listas!$C$47,IF(W630=[20]Listas!$B$48,[20]Listas!$C$48,"")))</f>
        <v/>
      </c>
      <c r="Y630" s="303" t="str">
        <f>IF(OR(W630=[20]Listas!$F$53,W630=[20]Listas!$F$54),[20]Listas!$G$53,IF(W630=[20]Listas!$F$55,[20]Listas!$G$55,""))</f>
        <v/>
      </c>
      <c r="Z630" s="301"/>
      <c r="AA630" s="143" t="str">
        <f>+IF(Z630=[20]Listas!$E$46,[20]Listas!$F$46,IF(Z630=[20]Listas!$E$47,[20]Listas!$F$47,""))</f>
        <v/>
      </c>
      <c r="AB630" s="144" t="str">
        <f t="shared" si="96"/>
        <v/>
      </c>
      <c r="AC630" s="301"/>
      <c r="AD630" s="301"/>
      <c r="AE630" s="304"/>
      <c r="AF630" s="305" t="str">
        <f t="shared" si="90"/>
        <v>Baja</v>
      </c>
      <c r="AG630" s="145">
        <f>IF(Y630=[20]Listas!$G$53,AG629-(AG629*AB630),AG629)</f>
        <v>0.216</v>
      </c>
      <c r="AH630" s="562"/>
      <c r="AI630" s="305" t="str">
        <f t="shared" si="95"/>
        <v>Moderado</v>
      </c>
      <c r="AJ630" s="145">
        <f>IF(Y630=[20]Listas!$G$55,AJ629-(AJ629*AB630),AJ629)</f>
        <v>0.6</v>
      </c>
      <c r="AK630" s="562"/>
      <c r="AL630" s="565"/>
      <c r="AM630" s="565"/>
      <c r="AN630" s="565"/>
      <c r="AO630" s="568"/>
      <c r="AP630" s="631"/>
      <c r="AQ630" s="306"/>
      <c r="AR630" s="117"/>
      <c r="AZ630" s="644"/>
      <c r="BA630" s="168">
        <v>0.4</v>
      </c>
      <c r="BB630" s="164" t="s">
        <v>206</v>
      </c>
      <c r="BC630" s="176" t="s">
        <v>86</v>
      </c>
      <c r="BD630" s="172" t="s">
        <v>83</v>
      </c>
      <c r="BE630" s="172" t="s">
        <v>83</v>
      </c>
      <c r="BF630" s="169" t="s">
        <v>81</v>
      </c>
      <c r="BG630" s="170" t="s">
        <v>77</v>
      </c>
    </row>
    <row r="631" spans="2:70" ht="15.75" hidden="1" customHeight="1" thickTop="1" thickBot="1" x14ac:dyDescent="0.4">
      <c r="B631" s="537"/>
      <c r="C631" s="560"/>
      <c r="D631" s="692"/>
      <c r="E631" s="577"/>
      <c r="F631" s="646"/>
      <c r="G631" s="663"/>
      <c r="H631" s="666"/>
      <c r="I631" s="589"/>
      <c r="J631" s="589"/>
      <c r="K631" s="592"/>
      <c r="L631" s="589"/>
      <c r="M631" s="595"/>
      <c r="N631" s="659"/>
      <c r="O631" s="601"/>
      <c r="P631" s="595"/>
      <c r="Q631" s="660"/>
      <c r="R631" s="601"/>
      <c r="S631" s="294"/>
      <c r="T631" s="660"/>
      <c r="U631" s="213" t="s">
        <v>224</v>
      </c>
      <c r="V631" s="496"/>
      <c r="W631" s="391"/>
      <c r="X631" s="392" t="str">
        <f>IF(W631=[20]Listas!$B$46,[20]Listas!$C$46,IF(W631=[20]Listas!$B$47,[20]Listas!$C$47,IF(W631=[20]Listas!$B$48,[20]Listas!$C$48,"")))</f>
        <v/>
      </c>
      <c r="Y631" s="393" t="str">
        <f>IF(OR(W631=[20]Listas!$F$53,W631=[20]Listas!$F$54),[20]Listas!$G$53,IF(W631=[20]Listas!$F$55,[20]Listas!$G$55,""))</f>
        <v/>
      </c>
      <c r="Z631" s="391"/>
      <c r="AA631" s="253" t="str">
        <f>+IF(Z631=[20]Listas!$E$46,[20]Listas!$F$46,IF(Z631=[20]Listas!$E$47,[20]Listas!$F$47,""))</f>
        <v/>
      </c>
      <c r="AB631" s="254" t="str">
        <f t="shared" si="96"/>
        <v/>
      </c>
      <c r="AC631" s="391"/>
      <c r="AD631" s="391"/>
      <c r="AE631" s="394"/>
      <c r="AF631" s="352" t="str">
        <f t="shared" si="90"/>
        <v>Baja</v>
      </c>
      <c r="AG631" s="205">
        <f>IF(Y631=[20]Listas!$G$53,AG630-(AG630*AB631),AG630)</f>
        <v>0.216</v>
      </c>
      <c r="AH631" s="657"/>
      <c r="AI631" s="352" t="str">
        <f t="shared" si="95"/>
        <v>Moderado</v>
      </c>
      <c r="AJ631" s="205">
        <f>IF(Y631=[20]Listas!$G$55,AJ630-(AJ630*AB631),AJ630)</f>
        <v>0.6</v>
      </c>
      <c r="AK631" s="657"/>
      <c r="AL631" s="658"/>
      <c r="AM631" s="658"/>
      <c r="AN631" s="658"/>
      <c r="AO631" s="661"/>
      <c r="AP631" s="696"/>
      <c r="AQ631" s="395"/>
      <c r="AR631" s="244"/>
      <c r="AZ631" s="644"/>
      <c r="BA631" s="168">
        <v>0.2</v>
      </c>
      <c r="BB631" s="164" t="s">
        <v>196</v>
      </c>
      <c r="BC631" s="176" t="s">
        <v>86</v>
      </c>
      <c r="BD631" s="176" t="s">
        <v>86</v>
      </c>
      <c r="BE631" s="172" t="s">
        <v>83</v>
      </c>
      <c r="BF631" s="169" t="s">
        <v>81</v>
      </c>
      <c r="BG631" s="170" t="s">
        <v>77</v>
      </c>
    </row>
    <row r="632" spans="2:70" ht="182.15" customHeight="1" thickTop="1" thickBot="1" x14ac:dyDescent="0.4">
      <c r="B632" s="537"/>
      <c r="C632" s="560"/>
      <c r="D632" s="573" t="s">
        <v>766</v>
      </c>
      <c r="E632" s="576" t="s">
        <v>4</v>
      </c>
      <c r="F632" s="579" t="s">
        <v>767</v>
      </c>
      <c r="G632" s="582" t="s">
        <v>768</v>
      </c>
      <c r="H632" s="585" t="s">
        <v>769</v>
      </c>
      <c r="I632" s="588" t="s">
        <v>28</v>
      </c>
      <c r="J632" s="588" t="s">
        <v>22</v>
      </c>
      <c r="K632" s="591" t="s">
        <v>770</v>
      </c>
      <c r="L632" s="588" t="s">
        <v>168</v>
      </c>
      <c r="M632" s="594" t="s">
        <v>222</v>
      </c>
      <c r="N632" s="597" t="str">
        <f>+IF(M632="","",IF(M632=$BO$15,$BN$15,IF(M632=$BO$16,$BN$16,IF(M632=$BO$17,$BN$17,IF(M632=$BO$18,$BN$18,IF(M632=$BO$19,$BN$19))))))</f>
        <v>Muy Alta</v>
      </c>
      <c r="O632" s="600">
        <f>+IF(M632="","",IF(M632=$BO$15,$BR$15,IF(M632=$BO$16,$BR$16,IF(M632=$BO$17,$BR$17,IF(M632=$BO$18,$BR$18,IF(M632=$BO$19,$BR$19))))))</f>
        <v>1</v>
      </c>
      <c r="P632" s="594" t="s">
        <v>212</v>
      </c>
      <c r="Q632" s="603" t="str">
        <f>+IF(P632="","",IF(P632='[20]Mapa de Calor inherente'!$AF$6,'[20]Mapa de Calor inherente'!$AD$6,IF(P632='[20]Mapa de Calor inherente'!$AF$7,'[20]Mapa de Calor inherente'!$AD$7,IF(P632='[20]Mapa de Calor inherente'!$AF$8,'[20]Mapa de Calor inherente'!$AD$8,IF(P632='[20]Mapa de Calor inherente'!$AF$9,'[20]Mapa de Calor inherente'!$AD$9,IF(P632='[20]Mapa de Calor inherente'!$AF$10,'[20]Mapa de Calor inherente'!$AD$10,IF(P632='[20]Mapa de Calor inherente'!$AG$6,'[20]Mapa de Calor inherente'!$AD$6,IF(P632='[20]Mapa de Calor inherente'!$AG$7,'[20]Mapa de Calor inherente'!$AD$7,IF(P632='[20]Mapa de Calor inherente'!$AG$8,'[20]Mapa de Calor inherente'!$AD$8,IF(P632='[20]Mapa de Calor inherente'!$AG$9,'[20]Mapa de Calor inherente'!$AD$9,IF(P632='[20]Mapa de Calor inherente'!$AG$10,'[20]Mapa de Calor inherente'!$AD$10,IF(P632='[20]Mapa de Calor inherente'!$AD$8,'[20]Mapa de Calor inherente'!$AD$8,IF(P632='[20]Mapa de Calor inherente'!$AD$9,'[20]Mapa de Calor inherente'!$AD$9,IF(P632='[20]Mapa de Calor inherente'!$AD$10,'[20]Mapa de Calor inherente'!$AD$10))))))))))))))</f>
        <v>Moderado</v>
      </c>
      <c r="R632" s="600">
        <f>+IF(P632="","",IF(P632='[20]Mapa de Calor inherente'!$AF$6,'[20]Mapa de Calor inherente'!$AE$6,IF(P632='[20]Mapa de Calor inherente'!$AF$7,'[20]Mapa de Calor inherente'!$AE$7,IF(P632='[20]Mapa de Calor inherente'!$AF$8,'[20]Mapa de Calor inherente'!$AE$8,IF(P632='[20]Mapa de Calor inherente'!$AF$9,'[20]Mapa de Calor inherente'!$AE$9,IF(P632='[20]Mapa de Calor inherente'!$AF$10,'[20]Mapa de Calor inherente'!$AE$10,IF(P632='[20]Mapa de Calor inherente'!$AG$6,'[20]Mapa de Calor inherente'!$AE$6,IF(P632='[20]Mapa de Calor inherente'!$AG$7,'[20]Mapa de Calor inherente'!$AE$7,IF(P632='[20]Mapa de Calor inherente'!$AG$8,'[20]Mapa de Calor inherente'!$AE$8,IF(P632='[20]Mapa de Calor inherente'!$AG$9,'[20]Mapa de Calor inherente'!$AE$9,IF(P632='[20]Mapa de Calor inherente'!$AG$10,'[20]Mapa de Calor inherente'!$AE$10,IF(P632='[20]Mapa de Calor inherente'!$AD$8,'[20]Mapa de Calor inherente'!$AE$8,IF(P632='[20]Mapa de Calor inherente'!$AD$9,'[20]Mapa de Calor inherente'!$AE$9,IF(P632='[20]Mapa de Calor inherente'!$AD$10,'[20]Mapa de Calor inherente'!$AE$10))))))))))))))</f>
        <v>0.6</v>
      </c>
      <c r="S632" s="292"/>
      <c r="T632" s="606" t="str">
        <f>+IF(N632=$BB$17,IF(Q632=$BC$16,$BC$17,IF(Q632=$BD$16,$BD$17,IF(Q632=$BE$16,$BE$17,IF(Q632=$BF$16,$BF$17,IF(Q632=$BG$16,$BG$17))))),IF(N632=$BB$18,IF(Q632=$BC$16,$BC$18,IF(Q632=$BD$16,$BD$18,IF(Q632=$BE$16,$BE$18,IF(Q632=$BF$16,$BF$18,IF(Q632=$BG$16,$BG$18))))),IF(N632=$BB$19,IF(Q632=$BC$16,$BC$19,IF(Q632=$BD$16,$BD$19,IF(Q632=$BE$16,$BE$19,IF(Q632=$BF$16,$BF$19,IF(Q632=$BG$16,$BG$19))))),IF(N632=$BB$20,IF(Q632=$BC$16,$BC$20,IF(Q632=$BD$16,$BD$20,IF(Q632=$BE$16,$BE$20,IF(Q632=$BF$16,$BF$20,IF(Q632=$BG$16,$BG$20))))),IF(N632=$BB$21,IF(Q632=$BC$16,$BC$21,IF(Q632=$BD$16,$BD$21,IF(Q632=$BE$16,$BE$21,IF(Q632=$BF$16,$BF$21,IF(Q632=$BG$16,$BG$21))))),"")))))</f>
        <v>Alto</v>
      </c>
      <c r="U632" s="241" t="s">
        <v>171</v>
      </c>
      <c r="V632" s="497" t="s">
        <v>771</v>
      </c>
      <c r="W632" s="313" t="s">
        <v>40</v>
      </c>
      <c r="X632" s="314">
        <f>IF(W632=[20]Listas!$B$46,[20]Listas!$C$46,IF(W632=[20]Listas!$B$47,[20]Listas!$C$47,IF(W632=[20]Listas!$B$48,[20]Listas!$C$48,"")))</f>
        <v>0.25</v>
      </c>
      <c r="Y632" s="315" t="str">
        <f>IF(OR(W632=[20]Listas!$F$53,W632=[20]Listas!$F$54),[20]Listas!$G$53,IF(W632=[20]Listas!$F$55,[20]Listas!$G$55,""))</f>
        <v>Probabilidad</v>
      </c>
      <c r="Z632" s="313" t="s">
        <v>43</v>
      </c>
      <c r="AA632" s="314">
        <f>+IF(Z632=[20]Listas!$E$46,[20]Listas!$F$46,IF(Z632=[20]Listas!$E$47,[20]Listas!$F$47,""))</f>
        <v>0.15</v>
      </c>
      <c r="AB632" s="181">
        <f>IFERROR(X632+AA632,"")</f>
        <v>0.4</v>
      </c>
      <c r="AC632" s="313" t="s">
        <v>64</v>
      </c>
      <c r="AD632" s="316" t="s">
        <v>58</v>
      </c>
      <c r="AE632" s="317" t="s">
        <v>59</v>
      </c>
      <c r="AF632" s="299" t="str">
        <f t="shared" si="90"/>
        <v>Media</v>
      </c>
      <c r="AG632" s="141">
        <f>IF(Y632=[20]Listas!$G$53,O632-(O632*AB632),O632)</f>
        <v>0.6</v>
      </c>
      <c r="AH632" s="561">
        <f>+IF(AG641="","",AG641)</f>
        <v>0.36</v>
      </c>
      <c r="AI632" s="299" t="str">
        <f>IF(AJ632="","",IF(AJ632&lt;=20%,"Leve",IF(AJ632&lt;=40%,"Menor",IF(AJ632&lt;=60%,"Moderado",IF(AJ632&lt;=80%,"Mayor","Catastrófico")))))</f>
        <v>Moderado</v>
      </c>
      <c r="AJ632" s="141">
        <f>IF(Y632=[20]Listas!$G$55,R632-(R632*AB632),R632)</f>
        <v>0.6</v>
      </c>
      <c r="AK632" s="561">
        <f>+IF(AJ641="","",AJ641)</f>
        <v>0.6</v>
      </c>
      <c r="AL632" s="564" t="str">
        <f>+IF(AH632=0,"",IF(AH632&lt;=$BA$21,$BB$21,IF(AH632&lt;=$BA$20,$BB$20,IF(AH632&lt;=$BA$19,$BB$19,IF(AH632&lt;=$BA$18,$BB$18,IF(AH632&lt;=$BA$17,$BB$17,""))))))</f>
        <v>Baja</v>
      </c>
      <c r="AM632" s="564" t="str">
        <f>+IF(AK632=0,"",IF(AK632&lt;=$BC$15,$BC$16,IF(AK632&lt;=$BD$15,$BD$16,IF(AK632&lt;=$BE$15,$BE$16,IF(AK632&lt;=$BF$15,$BF$16,IF(AK632&lt;=$BG$15,$BG$16,""))))))</f>
        <v>Moderado</v>
      </c>
      <c r="AN632" s="564" t="str">
        <f>IF(AL632=$BB$17,IF(AM632=$BC$16,$BC$17,IF(AM632=$BD$16,$BD$17,IF(AM632=$BE$16,$BE$17,IF(AM632=$BF$16,$BF$17,IF(AM632=$BG$16,$BG$17))))),IF(AL632=$BB$18,IF(AM632=$BC$16,$BC$18,IF(AM632=$BD$16,$BD$18,IF(AM632=$BE$16,$BE$18,IF(AM632=$BF$16,$BF$18,IF(AM632=$BG$16,$BG$18))))),IF(AL632=$BB$19,IF(AM632=$BC$16,$BC$19,IF(AM632=$BD$16,$BD$19,IF(AM632=$BE$16,$BE$19,IF(AM632=$BF$16,$BF$19,IF(AM632=$BG$16,$BG$19))))),IF(AL632=$BB$20,IF(AM632=$BC$16,$BC$20,IF(AM632=$BD$16,$BD$20,IF(AM632=$BE$16,$BE$20,IF(AM632=$BF$16,$BF$20,IF(AM632=$BG$16,$BG$20))))),IF(AL632=$BB$21,IF(AM632=$BC$16,$BC$21,IF(AM632=$BD$16,$BD$21,IF(AM632=$BE$16,$BE$21,IF(AM632=$BF$16,$BF$21,IF(AM632=$BG$16,$BG$21))))),"")))))</f>
        <v>Moderado</v>
      </c>
      <c r="AO632" s="567" t="str">
        <f>IF(AP632="","",IF(AP632=[20]Listas!$F$61,[20]Listas!$G$61,IF(AP632=[20]Listas!$F$63,[20]Listas!$G$63,IF(AP632=[20]Listas!$F$64,[20]Listas!$G$64))))</f>
        <v>Requiere Plan de Acción</v>
      </c>
      <c r="AP632" s="570" t="str">
        <f>IF(AN632="","",IF(OR(AN632=[20]Listas!$E$61,AN632=[20]Listas!$E$62),[20]Listas!$F$61,IF(AN632=[20]Listas!$E$63,[20]Listas!$F$63,IF(AN632=[20]Listas!$E$64,[20]Listas!$F$64))))</f>
        <v>Aceptar o reducir el riesgo</v>
      </c>
      <c r="AQ632" s="324" t="s">
        <v>80</v>
      </c>
      <c r="AR632" s="255" t="s">
        <v>772</v>
      </c>
    </row>
    <row r="633" spans="2:70" ht="239.15" customHeight="1" thickTop="1" thickBot="1" x14ac:dyDescent="0.4">
      <c r="B633" s="537"/>
      <c r="C633" s="560"/>
      <c r="D633" s="574"/>
      <c r="E633" s="577"/>
      <c r="F633" s="580"/>
      <c r="G633" s="583"/>
      <c r="H633" s="586"/>
      <c r="I633" s="589"/>
      <c r="J633" s="589"/>
      <c r="K633" s="592"/>
      <c r="L633" s="589"/>
      <c r="M633" s="595"/>
      <c r="N633" s="598"/>
      <c r="O633" s="601"/>
      <c r="P633" s="595"/>
      <c r="Q633" s="604"/>
      <c r="R633" s="601"/>
      <c r="S633" s="286"/>
      <c r="T633" s="607"/>
      <c r="U633" s="212" t="s">
        <v>174</v>
      </c>
      <c r="V633" s="498" t="s">
        <v>773</v>
      </c>
      <c r="W633" s="319" t="s">
        <v>40</v>
      </c>
      <c r="X633" s="320">
        <f>IF(W633=[20]Listas!$B$46,[20]Listas!$C$46,IF(W633=[20]Listas!$B$47,[20]Listas!$C$47,IF(W633=[20]Listas!$B$48,[20]Listas!$C$48,"")))</f>
        <v>0.25</v>
      </c>
      <c r="Y633" s="321" t="str">
        <f>IF(OR(W633=[20]Listas!$F$53,W633=[20]Listas!$F$54),[20]Listas!$G$53,IF(W633=[20]Listas!$F$55,[20]Listas!$G$55,""))</f>
        <v>Probabilidad</v>
      </c>
      <c r="Z633" s="319" t="s">
        <v>43</v>
      </c>
      <c r="AA633" s="182">
        <f>+IF(Z633=[20]Listas!$E$46,[20]Listas!$F$46,IF(Z633=[20]Listas!$E$47,[20]Listas!$F$47,""))</f>
        <v>0.15</v>
      </c>
      <c r="AB633" s="183">
        <f>IFERROR(X633+AA633,"")</f>
        <v>0.4</v>
      </c>
      <c r="AC633" s="319" t="s">
        <v>64</v>
      </c>
      <c r="AD633" s="322" t="s">
        <v>58</v>
      </c>
      <c r="AE633" s="323" t="s">
        <v>59</v>
      </c>
      <c r="AF633" s="305" t="str">
        <f t="shared" si="90"/>
        <v>Baja</v>
      </c>
      <c r="AG633" s="145">
        <f>IF(Y633=[20]Listas!$G$53,AG632-(AG632*AB633),AG632)</f>
        <v>0.36</v>
      </c>
      <c r="AH633" s="562"/>
      <c r="AI633" s="305" t="str">
        <f t="shared" si="95"/>
        <v>Moderado</v>
      </c>
      <c r="AJ633" s="145">
        <f>IF(Y633=[20]Listas!$G$55,AJ632-(AJ632*AB633),AJ632)</f>
        <v>0.6</v>
      </c>
      <c r="AK633" s="562"/>
      <c r="AL633" s="565"/>
      <c r="AM633" s="565"/>
      <c r="AN633" s="565"/>
      <c r="AO633" s="568"/>
      <c r="AP633" s="571"/>
      <c r="AQ633" s="324" t="s">
        <v>90</v>
      </c>
      <c r="AR633" s="256" t="s">
        <v>774</v>
      </c>
    </row>
    <row r="634" spans="2:70" ht="120.75" customHeight="1" thickTop="1" thickBot="1" x14ac:dyDescent="0.4">
      <c r="B634" s="537"/>
      <c r="C634" s="560"/>
      <c r="D634" s="574"/>
      <c r="E634" s="577"/>
      <c r="F634" s="580"/>
      <c r="G634" s="583"/>
      <c r="H634" s="586"/>
      <c r="I634" s="589"/>
      <c r="J634" s="589"/>
      <c r="K634" s="592"/>
      <c r="L634" s="589"/>
      <c r="M634" s="595"/>
      <c r="N634" s="598"/>
      <c r="O634" s="601"/>
      <c r="P634" s="595"/>
      <c r="Q634" s="604"/>
      <c r="R634" s="601"/>
      <c r="S634" s="287"/>
      <c r="T634" s="607"/>
      <c r="U634" s="142" t="s">
        <v>180</v>
      </c>
      <c r="V634" s="441"/>
      <c r="W634" s="319"/>
      <c r="X634" s="320" t="str">
        <f>IF(W634=[20]Listas!$B$46,[20]Listas!$C$46,IF(W634=[20]Listas!$B$47,[20]Listas!$C$47,IF(W634=[20]Listas!$B$48,[20]Listas!$C$48,"")))</f>
        <v/>
      </c>
      <c r="Y634" s="321" t="str">
        <f>IF(OR(W634=[20]Listas!$F$53,W634=[20]Listas!$F$54),[20]Listas!$G$53,IF(W634=[20]Listas!$F$55,[20]Listas!$G$55,""))</f>
        <v/>
      </c>
      <c r="Z634" s="319"/>
      <c r="AA634" s="182" t="str">
        <f>+IF(Z634=[20]Listas!$E$46,[20]Listas!$F$46,IF(Z634=[20]Listas!$E$47,[20]Listas!$F$47,""))</f>
        <v/>
      </c>
      <c r="AB634" s="183" t="str">
        <f>IFERROR(X634+AA634,"")</f>
        <v/>
      </c>
      <c r="AC634" s="325"/>
      <c r="AD634" s="326"/>
      <c r="AE634" s="327"/>
      <c r="AF634" s="305" t="str">
        <f t="shared" si="90"/>
        <v>Baja</v>
      </c>
      <c r="AG634" s="145">
        <f>IF(Y634=[20]Listas!$G$53,AG633-(AG633*AB634),AG633)</f>
        <v>0.36</v>
      </c>
      <c r="AH634" s="562"/>
      <c r="AI634" s="305" t="str">
        <f t="shared" si="95"/>
        <v>Moderado</v>
      </c>
      <c r="AJ634" s="145">
        <f>IF(Y634=[20]Listas!$G$55,AJ633-(AJ633*AB634),AJ633)</f>
        <v>0.6</v>
      </c>
      <c r="AK634" s="562"/>
      <c r="AL634" s="565"/>
      <c r="AM634" s="565"/>
      <c r="AN634" s="565"/>
      <c r="AO634" s="568"/>
      <c r="AP634" s="571"/>
      <c r="AQ634" s="324"/>
      <c r="AR634" s="256"/>
    </row>
    <row r="635" spans="2:70" ht="15" hidden="1" customHeight="1" thickBot="1" x14ac:dyDescent="0.4">
      <c r="B635" s="537"/>
      <c r="C635" s="560"/>
      <c r="D635" s="574"/>
      <c r="E635" s="577"/>
      <c r="F635" s="580"/>
      <c r="G635" s="583"/>
      <c r="H635" s="586"/>
      <c r="I635" s="589"/>
      <c r="J635" s="589"/>
      <c r="K635" s="592"/>
      <c r="L635" s="589"/>
      <c r="M635" s="595"/>
      <c r="N635" s="598"/>
      <c r="O635" s="601"/>
      <c r="P635" s="595"/>
      <c r="Q635" s="604"/>
      <c r="R635" s="601"/>
      <c r="S635" s="287"/>
      <c r="T635" s="607"/>
      <c r="U635" s="142" t="s">
        <v>190</v>
      </c>
      <c r="V635" s="415"/>
      <c r="W635" s="319"/>
      <c r="X635" s="320" t="str">
        <f>IF(W635=[20]Listas!$B$46,[20]Listas!$C$46,IF(W635=[20]Listas!$B$47,[20]Listas!$C$47,IF(W635=[20]Listas!$B$48,[20]Listas!$C$48,"")))</f>
        <v/>
      </c>
      <c r="Y635" s="321" t="str">
        <f>IF(OR(W635=[20]Listas!$F$53,W635=[20]Listas!$F$54),[20]Listas!$G$53,IF(W635=[20]Listas!$F$55,[20]Listas!$G$55,""))</f>
        <v/>
      </c>
      <c r="Z635" s="319"/>
      <c r="AA635" s="182" t="str">
        <f>+IF(Z635=[20]Listas!$E$46,[20]Listas!$F$46,IF(Z635=[20]Listas!$E$47,[20]Listas!$F$47,""))</f>
        <v/>
      </c>
      <c r="AB635" s="183" t="str">
        <f t="shared" ref="AB635:AB641" si="97">IFERROR(X635+AA635,"")</f>
        <v/>
      </c>
      <c r="AC635" s="328"/>
      <c r="AD635" s="329"/>
      <c r="AE635" s="330"/>
      <c r="AF635" s="305" t="str">
        <f t="shared" si="90"/>
        <v>Baja</v>
      </c>
      <c r="AG635" s="145">
        <f>IF(Y635=[20]Listas!$G$53,AG634-(AG634*AB635),AG634)</f>
        <v>0.36</v>
      </c>
      <c r="AH635" s="562"/>
      <c r="AI635" s="305" t="str">
        <f t="shared" si="95"/>
        <v>Moderado</v>
      </c>
      <c r="AJ635" s="145">
        <f>IF(Y635=[20]Listas!$G$55,AJ634-(AJ634*AB635),AJ634)</f>
        <v>0.6</v>
      </c>
      <c r="AK635" s="562"/>
      <c r="AL635" s="565"/>
      <c r="AM635" s="565"/>
      <c r="AN635" s="565"/>
      <c r="AO635" s="568"/>
      <c r="AP635" s="571"/>
      <c r="AQ635" s="324"/>
      <c r="AR635" s="257"/>
    </row>
    <row r="636" spans="2:70" ht="15" hidden="1" customHeight="1" thickBot="1" x14ac:dyDescent="0.4">
      <c r="B636" s="537"/>
      <c r="C636" s="560"/>
      <c r="D636" s="574"/>
      <c r="E636" s="577"/>
      <c r="F636" s="580"/>
      <c r="G636" s="583"/>
      <c r="H636" s="586"/>
      <c r="I636" s="589"/>
      <c r="J636" s="589"/>
      <c r="K636" s="592"/>
      <c r="L636" s="589"/>
      <c r="M636" s="595"/>
      <c r="N636" s="598"/>
      <c r="O636" s="601"/>
      <c r="P636" s="595"/>
      <c r="Q636" s="604"/>
      <c r="R636" s="601"/>
      <c r="S636" s="287"/>
      <c r="T636" s="607"/>
      <c r="U636" s="142" t="s">
        <v>198</v>
      </c>
      <c r="V636" s="415"/>
      <c r="W636" s="331"/>
      <c r="X636" s="320" t="str">
        <f>IF(W636=[20]Listas!$B$46,[20]Listas!$C$46,IF(W636=[20]Listas!$B$47,[20]Listas!$C$47,IF(W636=[20]Listas!$B$48,[20]Listas!$C$48,"")))</f>
        <v/>
      </c>
      <c r="Y636" s="321" t="str">
        <f>IF(OR(W636=[20]Listas!$F$53,W636=[20]Listas!$F$54),[20]Listas!$G$53,IF(W636=[20]Listas!$F$55,[20]Listas!$G$55,""))</f>
        <v/>
      </c>
      <c r="Z636" s="331"/>
      <c r="AA636" s="182" t="str">
        <f>+IF(Z636=[20]Listas!$E$46,[20]Listas!$F$46,IF(Z636=[20]Listas!$E$47,[20]Listas!$F$47,""))</f>
        <v/>
      </c>
      <c r="AB636" s="183" t="str">
        <f t="shared" si="97"/>
        <v/>
      </c>
      <c r="AC636" s="319"/>
      <c r="AD636" s="322"/>
      <c r="AE636" s="323"/>
      <c r="AF636" s="305" t="str">
        <f t="shared" si="90"/>
        <v>Baja</v>
      </c>
      <c r="AG636" s="145">
        <f>IF(Y636=[20]Listas!$G$53,AG635-(AG635*AB636),AG635)</f>
        <v>0.36</v>
      </c>
      <c r="AH636" s="562"/>
      <c r="AI636" s="305" t="str">
        <f t="shared" si="95"/>
        <v>Moderado</v>
      </c>
      <c r="AJ636" s="145">
        <f>IF(Y636=[20]Listas!$G$55,AJ635-(AJ635*AB636),AJ635)</f>
        <v>0.6</v>
      </c>
      <c r="AK636" s="562"/>
      <c r="AL636" s="565"/>
      <c r="AM636" s="565"/>
      <c r="AN636" s="565"/>
      <c r="AO636" s="568"/>
      <c r="AP636" s="571"/>
      <c r="AQ636" s="324"/>
      <c r="AR636" s="185"/>
    </row>
    <row r="637" spans="2:70" ht="15.75" hidden="1" customHeight="1" thickTop="1" x14ac:dyDescent="0.35">
      <c r="B637" s="537"/>
      <c r="C637" s="560"/>
      <c r="D637" s="574"/>
      <c r="E637" s="577"/>
      <c r="F637" s="580"/>
      <c r="G637" s="583"/>
      <c r="H637" s="586"/>
      <c r="I637" s="589"/>
      <c r="J637" s="589"/>
      <c r="K637" s="592"/>
      <c r="L637" s="589"/>
      <c r="M637" s="595"/>
      <c r="N637" s="598"/>
      <c r="O637" s="601"/>
      <c r="P637" s="595"/>
      <c r="Q637" s="604"/>
      <c r="R637" s="601"/>
      <c r="S637" s="288"/>
      <c r="T637" s="607"/>
      <c r="U637" s="142" t="s">
        <v>208</v>
      </c>
      <c r="V637" s="415"/>
      <c r="W637" s="331"/>
      <c r="X637" s="320" t="str">
        <f>IF(W637=[20]Listas!$B$46,[20]Listas!$C$46,IF(W637=[20]Listas!$B$47,[20]Listas!$C$47,IF(W637=[20]Listas!$B$48,[20]Listas!$C$48,"")))</f>
        <v/>
      </c>
      <c r="Y637" s="321" t="str">
        <f>IF(OR(W637=[20]Listas!$F$53,W637=[20]Listas!$F$54),[20]Listas!$G$53,IF(W637=[20]Listas!$F$55,[20]Listas!$G$55,""))</f>
        <v/>
      </c>
      <c r="Z637" s="331"/>
      <c r="AA637" s="182" t="str">
        <f>+IF(Z637=[20]Listas!$E$46,[20]Listas!$F$46,IF(Z637=[20]Listas!$E$47,[20]Listas!$F$47,""))</f>
        <v/>
      </c>
      <c r="AB637" s="183" t="str">
        <f t="shared" si="97"/>
        <v/>
      </c>
      <c r="AC637" s="319"/>
      <c r="AD637" s="322"/>
      <c r="AE637" s="323"/>
      <c r="AF637" s="305" t="str">
        <f t="shared" si="90"/>
        <v>Baja</v>
      </c>
      <c r="AG637" s="145">
        <f>IF(Y637=[20]Listas!$G$53,AG636-(AG636*AB637),AG636)</f>
        <v>0.36</v>
      </c>
      <c r="AH637" s="562"/>
      <c r="AI637" s="305" t="str">
        <f t="shared" si="95"/>
        <v>Moderado</v>
      </c>
      <c r="AJ637" s="145">
        <f>IF(Y637=[20]Listas!$G$55,AJ636-(AJ636*AB637),AJ636)</f>
        <v>0.6</v>
      </c>
      <c r="AK637" s="562"/>
      <c r="AL637" s="565"/>
      <c r="AM637" s="565"/>
      <c r="AN637" s="565"/>
      <c r="AO637" s="568"/>
      <c r="AP637" s="571"/>
      <c r="AQ637" s="332"/>
      <c r="AR637" s="185"/>
    </row>
    <row r="638" spans="2:70" ht="15" hidden="1" customHeight="1" thickTop="1" x14ac:dyDescent="0.35">
      <c r="B638" s="537"/>
      <c r="C638" s="560"/>
      <c r="D638" s="574"/>
      <c r="E638" s="577"/>
      <c r="F638" s="580"/>
      <c r="G638" s="583"/>
      <c r="H638" s="586"/>
      <c r="I638" s="589"/>
      <c r="J638" s="589"/>
      <c r="K638" s="592"/>
      <c r="L638" s="589"/>
      <c r="M638" s="595"/>
      <c r="N638" s="598"/>
      <c r="O638" s="601"/>
      <c r="P638" s="595"/>
      <c r="Q638" s="604"/>
      <c r="R638" s="601"/>
      <c r="S638" s="289"/>
      <c r="T638" s="607"/>
      <c r="U638" s="142" t="s">
        <v>215</v>
      </c>
      <c r="V638" s="415"/>
      <c r="W638" s="331"/>
      <c r="X638" s="320" t="str">
        <f>IF(W638=[20]Listas!$B$46,[20]Listas!$C$46,IF(W638=[20]Listas!$B$47,[20]Listas!$C$47,IF(W638=[20]Listas!$B$48,[20]Listas!$C$48,"")))</f>
        <v/>
      </c>
      <c r="Y638" s="321" t="str">
        <f>IF(OR(W638=[20]Listas!$F$53,W638=[20]Listas!$F$54),[20]Listas!$G$53,IF(W638=[20]Listas!$F$55,[20]Listas!$G$55,""))</f>
        <v/>
      </c>
      <c r="Z638" s="331"/>
      <c r="AA638" s="182" t="str">
        <f>+IF(Z638=[20]Listas!$E$46,[20]Listas!$F$46,IF(Z638=[20]Listas!$E$47,[20]Listas!$F$47,""))</f>
        <v/>
      </c>
      <c r="AB638" s="183" t="str">
        <f t="shared" si="97"/>
        <v/>
      </c>
      <c r="AC638" s="319"/>
      <c r="AD638" s="322"/>
      <c r="AE638" s="323"/>
      <c r="AF638" s="305" t="str">
        <f t="shared" si="90"/>
        <v>Baja</v>
      </c>
      <c r="AG638" s="145">
        <f>IF(Y638=[20]Listas!$G$53,AG637-(AG637*AB638),AG637)</f>
        <v>0.36</v>
      </c>
      <c r="AH638" s="562"/>
      <c r="AI638" s="305" t="str">
        <f t="shared" si="95"/>
        <v>Moderado</v>
      </c>
      <c r="AJ638" s="145">
        <f>IF(Y638=[20]Listas!$G$55,AJ637-(AJ637*AB638),AJ637)</f>
        <v>0.6</v>
      </c>
      <c r="AK638" s="562"/>
      <c r="AL638" s="565"/>
      <c r="AM638" s="565"/>
      <c r="AN638" s="565"/>
      <c r="AO638" s="568"/>
      <c r="AP638" s="571"/>
      <c r="AQ638" s="333"/>
      <c r="AR638" s="185"/>
    </row>
    <row r="639" spans="2:70" ht="15" hidden="1" customHeight="1" thickTop="1" x14ac:dyDescent="0.35">
      <c r="B639" s="537"/>
      <c r="C639" s="560"/>
      <c r="D639" s="574"/>
      <c r="E639" s="577"/>
      <c r="F639" s="580"/>
      <c r="G639" s="583"/>
      <c r="H639" s="586"/>
      <c r="I639" s="589"/>
      <c r="J639" s="589"/>
      <c r="K639" s="592"/>
      <c r="L639" s="589"/>
      <c r="M639" s="595"/>
      <c r="N639" s="598"/>
      <c r="O639" s="601"/>
      <c r="P639" s="595"/>
      <c r="Q639" s="604"/>
      <c r="R639" s="601"/>
      <c r="S639" s="289"/>
      <c r="T639" s="607"/>
      <c r="U639" s="142" t="s">
        <v>220</v>
      </c>
      <c r="V639" s="415"/>
      <c r="W639" s="331"/>
      <c r="X639" s="320" t="str">
        <f>IF(W639=[20]Listas!$B$46,[20]Listas!$C$46,IF(W639=[20]Listas!$B$47,[20]Listas!$C$47,IF(W639=[20]Listas!$B$48,[20]Listas!$C$48,"")))</f>
        <v/>
      </c>
      <c r="Y639" s="321" t="str">
        <f>IF(OR(W639=[20]Listas!$F$53,W639=[20]Listas!$F$54),[20]Listas!$G$53,IF(W639=[20]Listas!$F$55,[20]Listas!$G$55,""))</f>
        <v/>
      </c>
      <c r="Z639" s="331"/>
      <c r="AA639" s="182" t="str">
        <f>+IF(Z639=[20]Listas!$E$46,[20]Listas!$F$46,IF(Z639=[20]Listas!$E$47,[20]Listas!$F$47,""))</f>
        <v/>
      </c>
      <c r="AB639" s="183" t="str">
        <f t="shared" si="97"/>
        <v/>
      </c>
      <c r="AC639" s="319"/>
      <c r="AD639" s="322"/>
      <c r="AE639" s="323"/>
      <c r="AF639" s="305" t="str">
        <f t="shared" si="90"/>
        <v>Baja</v>
      </c>
      <c r="AG639" s="145">
        <f>IF(Y639=[20]Listas!$G$53,AG638-(AG638*AB639),AG638)</f>
        <v>0.36</v>
      </c>
      <c r="AH639" s="562"/>
      <c r="AI639" s="305" t="str">
        <f t="shared" si="95"/>
        <v>Moderado</v>
      </c>
      <c r="AJ639" s="145">
        <f>IF(Y639=[20]Listas!$G$55,AJ638-(AJ638*AB639),AJ638)</f>
        <v>0.6</v>
      </c>
      <c r="AK639" s="562"/>
      <c r="AL639" s="565"/>
      <c r="AM639" s="565"/>
      <c r="AN639" s="565"/>
      <c r="AO639" s="568"/>
      <c r="AP639" s="571"/>
      <c r="AQ639" s="334"/>
      <c r="AR639" s="185"/>
    </row>
    <row r="640" spans="2:70" ht="15" hidden="1" customHeight="1" thickTop="1" x14ac:dyDescent="0.35">
      <c r="B640" s="537"/>
      <c r="C640" s="560"/>
      <c r="D640" s="574"/>
      <c r="E640" s="577"/>
      <c r="F640" s="580"/>
      <c r="G640" s="583"/>
      <c r="H640" s="586"/>
      <c r="I640" s="589"/>
      <c r="J640" s="589"/>
      <c r="K640" s="592"/>
      <c r="L640" s="589"/>
      <c r="M640" s="595"/>
      <c r="N640" s="598"/>
      <c r="O640" s="601"/>
      <c r="P640" s="595"/>
      <c r="Q640" s="604"/>
      <c r="R640" s="601"/>
      <c r="S640" s="289"/>
      <c r="T640" s="607"/>
      <c r="U640" s="142" t="s">
        <v>223</v>
      </c>
      <c r="V640" s="415"/>
      <c r="W640" s="331"/>
      <c r="X640" s="320" t="str">
        <f>IF(W640=[20]Listas!$B$46,[20]Listas!$C$46,IF(W640=[20]Listas!$B$47,[20]Listas!$C$47,IF(W640=[20]Listas!$B$48,[20]Listas!$C$48,"")))</f>
        <v/>
      </c>
      <c r="Y640" s="321" t="str">
        <f>IF(OR(W640=[20]Listas!$F$53,W640=[20]Listas!$F$54),[20]Listas!$G$53,IF(W640=[20]Listas!$F$55,[20]Listas!$G$55,""))</f>
        <v/>
      </c>
      <c r="Z640" s="331"/>
      <c r="AA640" s="182" t="str">
        <f>+IF(Z640=[20]Listas!$E$46,[20]Listas!$F$46,IF(Z640=[20]Listas!$E$47,[20]Listas!$F$47,""))</f>
        <v/>
      </c>
      <c r="AB640" s="183" t="str">
        <f t="shared" si="97"/>
        <v/>
      </c>
      <c r="AC640" s="319"/>
      <c r="AD640" s="322"/>
      <c r="AE640" s="323"/>
      <c r="AF640" s="305" t="str">
        <f t="shared" si="90"/>
        <v>Baja</v>
      </c>
      <c r="AG640" s="145">
        <f>IF(Y640=[20]Listas!$G$53,AG639-(AG639*AB640),AG639)</f>
        <v>0.36</v>
      </c>
      <c r="AH640" s="562"/>
      <c r="AI640" s="305" t="str">
        <f t="shared" si="95"/>
        <v>Moderado</v>
      </c>
      <c r="AJ640" s="145">
        <f>IF(Y640=[20]Listas!$G$55,AJ639-(AJ639*AB640),AJ639)</f>
        <v>0.6</v>
      </c>
      <c r="AK640" s="562"/>
      <c r="AL640" s="565"/>
      <c r="AM640" s="565"/>
      <c r="AN640" s="565"/>
      <c r="AO640" s="568"/>
      <c r="AP640" s="571"/>
      <c r="AQ640" s="324"/>
      <c r="AR640" s="185"/>
    </row>
    <row r="641" spans="2:44" ht="15.75" hidden="1" customHeight="1" thickTop="1" x14ac:dyDescent="0.35">
      <c r="B641" s="537"/>
      <c r="C641" s="560"/>
      <c r="D641" s="575"/>
      <c r="E641" s="578"/>
      <c r="F641" s="581"/>
      <c r="G641" s="584"/>
      <c r="H641" s="587"/>
      <c r="I641" s="590"/>
      <c r="J641" s="590"/>
      <c r="K641" s="593"/>
      <c r="L641" s="590"/>
      <c r="M641" s="596"/>
      <c r="N641" s="599"/>
      <c r="O641" s="602"/>
      <c r="P641" s="596"/>
      <c r="Q641" s="605"/>
      <c r="R641" s="602"/>
      <c r="S641" s="293"/>
      <c r="T641" s="608"/>
      <c r="U641" s="202" t="s">
        <v>224</v>
      </c>
      <c r="V641" s="416"/>
      <c r="W641" s="335"/>
      <c r="X641" s="336" t="str">
        <f>IF(W641=[20]Listas!$B$46,[20]Listas!$C$46,IF(W641=[20]Listas!$B$47,[20]Listas!$C$47,IF(W641=[20]Listas!$B$48,[20]Listas!$C$48,"")))</f>
        <v/>
      </c>
      <c r="Y641" s="337" t="str">
        <f>IF(OR(W641=[20]Listas!$F$53,W641=[20]Listas!$F$54),[20]Listas!$G$53,IF(W641=[20]Listas!$F$55,[20]Listas!$G$55,""))</f>
        <v/>
      </c>
      <c r="Z641" s="335"/>
      <c r="AA641" s="186" t="str">
        <f>+IF(Z641=[20]Listas!$E$46,[20]Listas!$F$46,IF(Z641=[20]Listas!$E$47,[20]Listas!$F$47,""))</f>
        <v/>
      </c>
      <c r="AB641" s="187" t="str">
        <f t="shared" si="97"/>
        <v/>
      </c>
      <c r="AC641" s="338"/>
      <c r="AD641" s="339"/>
      <c r="AE641" s="340"/>
      <c r="AF641" s="311" t="str">
        <f t="shared" si="90"/>
        <v>Baja</v>
      </c>
      <c r="AG641" s="179">
        <f>IF(Y641=[20]Listas!$G$53,AG640-(AG640*AB641),AG640)</f>
        <v>0.36</v>
      </c>
      <c r="AH641" s="563"/>
      <c r="AI641" s="311" t="str">
        <f t="shared" si="95"/>
        <v>Moderado</v>
      </c>
      <c r="AJ641" s="179">
        <f>IF(Y641=[20]Listas!$G$55,AJ640-(AJ640*AB641),AJ640)</f>
        <v>0.6</v>
      </c>
      <c r="AK641" s="563"/>
      <c r="AL641" s="566"/>
      <c r="AM641" s="566"/>
      <c r="AN641" s="566"/>
      <c r="AO641" s="569"/>
      <c r="AP641" s="572"/>
      <c r="AQ641" s="341"/>
      <c r="AR641" s="188"/>
    </row>
    <row r="642" spans="2:44" ht="155" thickTop="1" thickBot="1" x14ac:dyDescent="0.4">
      <c r="B642" s="537"/>
      <c r="C642" s="560"/>
      <c r="D642" s="573" t="s">
        <v>775</v>
      </c>
      <c r="E642" s="576" t="s">
        <v>4</v>
      </c>
      <c r="F642" s="645" t="s">
        <v>776</v>
      </c>
      <c r="G642" s="662" t="s">
        <v>777</v>
      </c>
      <c r="H642" s="665" t="s">
        <v>778</v>
      </c>
      <c r="I642" s="588" t="s">
        <v>20</v>
      </c>
      <c r="J642" s="588" t="s">
        <v>22</v>
      </c>
      <c r="K642" s="591" t="s">
        <v>779</v>
      </c>
      <c r="L642" s="588" t="s">
        <v>186</v>
      </c>
      <c r="M642" s="594" t="s">
        <v>222</v>
      </c>
      <c r="N642" s="597" t="str">
        <f>+IF(M642="","",IF(M642=$BO$15,$BN$15,IF(M642=$BO$16,$BN$16,IF(M642=$BO$17,$BN$17,IF(M642=$BO$18,$BN$18,IF(M642=$BO$19,$BN$19))))))</f>
        <v>Muy Alta</v>
      </c>
      <c r="O642" s="600">
        <f>+IF(M642="","",IF(M642=$BO$15,$BR$15,IF(M642=$BO$16,$BR$16,IF(M642=$BO$17,$BR$17,IF(M642=$BO$18,$BR$18,IF(M642=$BO$19,$BR$19))))))</f>
        <v>1</v>
      </c>
      <c r="P642" s="594" t="s">
        <v>212</v>
      </c>
      <c r="Q642" s="603" t="str">
        <f>+IF(P642="","",IF(P642='[20]Mapa de Calor inherente'!$AF$6,'[20]Mapa de Calor inherente'!$AD$6,IF(P642='[20]Mapa de Calor inherente'!$AF$7,'[20]Mapa de Calor inherente'!$AD$7,IF(P642='[20]Mapa de Calor inherente'!$AF$8,'[20]Mapa de Calor inherente'!$AD$8,IF(P642='[20]Mapa de Calor inherente'!$AF$9,'[20]Mapa de Calor inherente'!$AD$9,IF(P642='[20]Mapa de Calor inherente'!$AF$10,'[20]Mapa de Calor inherente'!$AD$10,IF(P642='[20]Mapa de Calor inherente'!$AG$6,'[20]Mapa de Calor inherente'!$AD$6,IF(P642='[20]Mapa de Calor inherente'!$AG$7,'[20]Mapa de Calor inherente'!$AD$7,IF(P642='[20]Mapa de Calor inherente'!$AG$8,'[20]Mapa de Calor inherente'!$AD$8,IF(P642='[20]Mapa de Calor inherente'!$AG$9,'[20]Mapa de Calor inherente'!$AD$9,IF(P642='[20]Mapa de Calor inherente'!$AG$10,'[20]Mapa de Calor inherente'!$AD$10,IF(P642='[20]Mapa de Calor inherente'!$AD$8,'[20]Mapa de Calor inherente'!$AD$8,IF(P642='[20]Mapa de Calor inherente'!$AD$9,'[20]Mapa de Calor inherente'!$AD$9,IF(P642='[20]Mapa de Calor inherente'!$AD$10,'[20]Mapa de Calor inherente'!$AD$10))))))))))))))</f>
        <v>Moderado</v>
      </c>
      <c r="R642" s="600">
        <f>+IF(P642="","",IF(P642='[20]Mapa de Calor inherente'!$AF$6,'[20]Mapa de Calor inherente'!$AE$6,IF(P642='[20]Mapa de Calor inherente'!$AF$7,'[20]Mapa de Calor inherente'!$AE$7,IF(P642='[20]Mapa de Calor inherente'!$AF$8,'[20]Mapa de Calor inherente'!$AE$8,IF(P642='[20]Mapa de Calor inherente'!$AF$9,'[20]Mapa de Calor inherente'!$AE$9,IF(P642='[20]Mapa de Calor inherente'!$AF$10,'[20]Mapa de Calor inherente'!$AE$10,IF(P642='[20]Mapa de Calor inherente'!$AG$6,'[20]Mapa de Calor inherente'!$AE$6,IF(P642='[20]Mapa de Calor inherente'!$AG$7,'[20]Mapa de Calor inherente'!$AE$7,IF(P642='[20]Mapa de Calor inherente'!$AG$8,'[20]Mapa de Calor inherente'!$AE$8,IF(P642='[20]Mapa de Calor inherente'!$AG$9,'[20]Mapa de Calor inherente'!$AE$9,IF(P642='[20]Mapa de Calor inherente'!$AG$10,'[20]Mapa de Calor inherente'!$AE$10,IF(P642='[20]Mapa de Calor inherente'!$AD$8,'[20]Mapa de Calor inherente'!$AE$8,IF(P642='[20]Mapa de Calor inherente'!$AD$9,'[20]Mapa de Calor inherente'!$AE$9,IF(P642='[20]Mapa de Calor inherente'!$AD$10,'[20]Mapa de Calor inherente'!$AE$10))))))))))))))</f>
        <v>0.6</v>
      </c>
      <c r="S642" s="292"/>
      <c r="T642" s="603" t="str">
        <f>+IF(N642=$BB$17,IF(Q642=$BC$16,$BC$17,IF(Q642=$BD$16,$BD$17,IF(Q642=$BE$16,$BE$17,IF(Q642=$BF$16,$BF$17,IF(Q642=$BG$16,$BG$17))))),IF(N642=$BB$18,IF(Q642=$BC$16,$BC$18,IF(Q642=$BD$16,$BD$18,IF(Q642=$BE$16,$BE$18,IF(Q642=$BF$16,$BF$18,IF(Q642=$BG$16,$BG$18))))),IF(N642=$BB$19,IF(Q642=$BC$16,$BC$19,IF(Q642=$BD$16,$BD$19,IF(Q642=$BE$16,$BE$19,IF(Q642=$BF$16,$BF$19,IF(Q642=$BG$16,$BG$19))))),IF(N642=$BB$20,IF(Q642=$BC$16,$BC$20,IF(Q642=$BD$16,$BD$20,IF(Q642=$BE$16,$BE$20,IF(Q642=$BF$16,$BF$20,IF(Q642=$BG$16,$BG$20))))),IF(N642=$BB$21,IF(Q642=$BC$16,$BC$21,IF(Q642=$BD$16,$BD$21,IF(Q642=$BE$16,$BE$21,IF(Q642=$BF$16,$BF$21,IF(Q642=$BG$16,$BG$21))))),"")))))</f>
        <v>Alto</v>
      </c>
      <c r="U642" s="241" t="s">
        <v>171</v>
      </c>
      <c r="V642" s="454" t="s">
        <v>780</v>
      </c>
      <c r="W642" s="377" t="s">
        <v>40</v>
      </c>
      <c r="X642" s="314">
        <f>IF(W642=[20]Listas!$B$46,[20]Listas!$C$46,IF(W642=[20]Listas!$B$47,[20]Listas!$C$47,IF(W642=[20]Listas!$B$48,[20]Listas!$C$48,"")))</f>
        <v>0.25</v>
      </c>
      <c r="Y642" s="315" t="str">
        <f>IF(OR(W642=[20]Listas!$F$53,W642=[20]Listas!$F$54),[20]Listas!$G$53,IF(W642=[20]Listas!$F$55,[20]Listas!$G$55,""))</f>
        <v>Probabilidad</v>
      </c>
      <c r="Z642" s="313" t="s">
        <v>43</v>
      </c>
      <c r="AA642" s="314">
        <f>+IF(Z642=[20]Listas!$E$46,[20]Listas!$F$46,IF(Z642=[20]Listas!$E$47,[20]Listas!$F$47,""))</f>
        <v>0.15</v>
      </c>
      <c r="AB642" s="181">
        <f>IFERROR(X642+AA642,"")</f>
        <v>0.4</v>
      </c>
      <c r="AC642" s="313" t="s">
        <v>57</v>
      </c>
      <c r="AD642" s="313" t="s">
        <v>58</v>
      </c>
      <c r="AE642" s="317" t="s">
        <v>59</v>
      </c>
      <c r="AF642" s="299" t="str">
        <f t="shared" si="90"/>
        <v>Media</v>
      </c>
      <c r="AG642" s="141">
        <f>IF(Y642=[20]Listas!$G$53,O642-(O642*AB642),O642)</f>
        <v>0.6</v>
      </c>
      <c r="AH642" s="561">
        <f>+IF(AG651="","",AG651)</f>
        <v>0.36</v>
      </c>
      <c r="AI642" s="299" t="str">
        <f>IF(AJ642="","",IF(AJ642&lt;=20%,"Leve",IF(AJ642&lt;=40%,"Menor",IF(AJ642&lt;=60%,"Moderado",IF(AJ642&lt;=80%,"Mayor","Catastrófico")))))</f>
        <v>Moderado</v>
      </c>
      <c r="AJ642" s="141">
        <f>IF(Y642=[20]Listas!$G$55,R642-(R642*AB642),R642)</f>
        <v>0.6</v>
      </c>
      <c r="AK642" s="561">
        <f>+IF(AJ651="","",AJ651)</f>
        <v>0.6</v>
      </c>
      <c r="AL642" s="564" t="str">
        <f>+IF(AH642=0,"",IF(AH642&lt;=$BA$21,$BB$21,IF(AH642&lt;=$BA$20,$BB$20,IF(AH642&lt;=$BA$19,$BB$19,IF(AH642&lt;=$BA$18,$BB$18,IF(AH642&lt;=$BA$17,$BB$17,""))))))</f>
        <v>Baja</v>
      </c>
      <c r="AM642" s="564" t="str">
        <f>+IF(AK642=0,"",IF(AK642&lt;=$BC$15,$BC$16,IF(AK642&lt;=$BD$15,$BD$16,IF(AK642&lt;=$BE$15,$BE$16,IF(AK642&lt;=$BF$15,$BF$16,IF(AK642&lt;=$BG$15,$BG$16,""))))))</f>
        <v>Moderado</v>
      </c>
      <c r="AN642" s="564" t="str">
        <f>IF(AL642=$BB$17,IF(AM642=$BC$16,$BC$17,IF(AM642=$BD$16,$BD$17,IF(AM642=$BE$16,$BE$17,IF(AM642=$BF$16,$BF$17,IF(AM642=$BG$16,$BG$17))))),IF(AL642=$BB$18,IF(AM642=$BC$16,$BC$18,IF(AM642=$BD$16,$BD$18,IF(AM642=$BE$16,$BE$18,IF(AM642=$BF$16,$BF$18,IF(AM642=$BG$16,$BG$18))))),IF(AL642=$BB$19,IF(AM642=$BC$16,$BC$19,IF(AM642=$BD$16,$BD$19,IF(AM642=$BE$16,$BE$19,IF(AM642=$BF$16,$BF$19,IF(AM642=$BG$16,$BG$19))))),IF(AL642=$BB$20,IF(AM642=$BC$16,$BC$20,IF(AM642=$BD$16,$BD$20,IF(AM642=$BE$16,$BE$20,IF(AM642=$BF$16,$BF$20,IF(AM642=$BG$16,$BG$20))))),IF(AL642=$BB$21,IF(AM642=$BC$16,$BC$21,IF(AM642=$BD$16,$BD$21,IF(AM642=$BE$16,$BE$21,IF(AM642=$BF$16,$BF$21,IF(AM642=$BG$16,$BG$21))))),"")))))</f>
        <v>Moderado</v>
      </c>
      <c r="AO642" s="567" t="str">
        <f>IF(AP642="","",IF(AP642=[20]Listas!$F$61,[20]Listas!$G$61,IF(AP642=[20]Listas!$F$63,[20]Listas!$G$63,IF(AP642=[20]Listas!$F$64,[20]Listas!$G$64))))</f>
        <v>Requiere Plan de Acción</v>
      </c>
      <c r="AP642" s="570" t="str">
        <f>IF(AN642="","",IF(OR(AN642=[20]Listas!$E$61,AN642=[20]Listas!$E$62),[20]Listas!$F$61,IF(AN642=[20]Listas!$E$63,[20]Listas!$F$63,IF(AN642=[20]Listas!$E$64,[20]Listas!$F$64))))</f>
        <v>Aceptar o reducir el riesgo</v>
      </c>
      <c r="AQ642" s="342" t="s">
        <v>80</v>
      </c>
      <c r="AR642" s="258" t="s">
        <v>781</v>
      </c>
    </row>
    <row r="643" spans="2:44" ht="127" thickTop="1" thickBot="1" x14ac:dyDescent="0.4">
      <c r="B643" s="537"/>
      <c r="C643" s="560"/>
      <c r="D643" s="574"/>
      <c r="E643" s="577"/>
      <c r="F643" s="646"/>
      <c r="G643" s="663"/>
      <c r="H643" s="666"/>
      <c r="I643" s="589"/>
      <c r="J643" s="589"/>
      <c r="K643" s="592"/>
      <c r="L643" s="589"/>
      <c r="M643" s="595"/>
      <c r="N643" s="598"/>
      <c r="O643" s="601"/>
      <c r="P643" s="595"/>
      <c r="Q643" s="604"/>
      <c r="R643" s="601"/>
      <c r="S643" s="286"/>
      <c r="T643" s="604"/>
      <c r="U643" s="212" t="s">
        <v>174</v>
      </c>
      <c r="V643" s="478" t="s">
        <v>782</v>
      </c>
      <c r="W643" s="383" t="s">
        <v>40</v>
      </c>
      <c r="X643" s="320">
        <f>IF(W643=[20]Listas!$B$46,[20]Listas!$C$46,IF(W643=[20]Listas!$B$47,[20]Listas!$C$47,IF(W643=[20]Listas!$B$48,[20]Listas!$C$48,"")))</f>
        <v>0.25</v>
      </c>
      <c r="Y643" s="321" t="str">
        <f>IF(OR(W643=[20]Listas!$F$53,W643=[20]Listas!$F$54),[20]Listas!$G$53,IF(W643=[20]Listas!$F$55,[20]Listas!$G$55,""))</f>
        <v>Probabilidad</v>
      </c>
      <c r="Z643" s="331" t="s">
        <v>43</v>
      </c>
      <c r="AA643" s="182">
        <f>+IF(Z643=[20]Listas!$E$46,[20]Listas!$F$46,IF(Z643=[20]Listas!$E$47,[20]Listas!$F$47,""))</f>
        <v>0.15</v>
      </c>
      <c r="AB643" s="183">
        <f>IFERROR(X643+AA643,"")</f>
        <v>0.4</v>
      </c>
      <c r="AC643" s="319" t="s">
        <v>64</v>
      </c>
      <c r="AD643" s="319" t="s">
        <v>58</v>
      </c>
      <c r="AE643" s="323" t="s">
        <v>59</v>
      </c>
      <c r="AF643" s="305" t="str">
        <f t="shared" si="90"/>
        <v>Baja</v>
      </c>
      <c r="AG643" s="145">
        <f>IF(Y643=[20]Listas!$G$53,AG642-(AG642*AB643),AG642)</f>
        <v>0.36</v>
      </c>
      <c r="AH643" s="562"/>
      <c r="AI643" s="305" t="str">
        <f t="shared" si="95"/>
        <v>Moderado</v>
      </c>
      <c r="AJ643" s="145">
        <f>IF(Y643=[20]Listas!$G$55,AJ642-(AJ642*AB643),AJ642)</f>
        <v>0.6</v>
      </c>
      <c r="AK643" s="562"/>
      <c r="AL643" s="565"/>
      <c r="AM643" s="565"/>
      <c r="AN643" s="565"/>
      <c r="AO643" s="568"/>
      <c r="AP643" s="571"/>
      <c r="AQ643" s="343" t="s">
        <v>90</v>
      </c>
      <c r="AR643" s="259" t="s">
        <v>783</v>
      </c>
    </row>
    <row r="644" spans="2:44" ht="15" hidden="1" customHeight="1" thickBot="1" x14ac:dyDescent="0.4">
      <c r="B644" s="537"/>
      <c r="C644" s="560"/>
      <c r="D644" s="574"/>
      <c r="E644" s="577"/>
      <c r="F644" s="646"/>
      <c r="G644" s="663"/>
      <c r="H644" s="666"/>
      <c r="I644" s="589"/>
      <c r="J644" s="589"/>
      <c r="K644" s="592"/>
      <c r="L644" s="589"/>
      <c r="M644" s="595"/>
      <c r="N644" s="598"/>
      <c r="O644" s="601"/>
      <c r="P644" s="595"/>
      <c r="Q644" s="604"/>
      <c r="R644" s="601"/>
      <c r="S644" s="287"/>
      <c r="T644" s="604"/>
      <c r="U644" s="142" t="s">
        <v>180</v>
      </c>
      <c r="V644" s="441"/>
      <c r="W644" s="331"/>
      <c r="X644" s="320" t="str">
        <f>IF(W644=[20]Listas!$B$46,[20]Listas!$C$46,IF(W644=[20]Listas!$B$47,[20]Listas!$C$47,IF(W644=[20]Listas!$B$48,[20]Listas!$C$48,"")))</f>
        <v/>
      </c>
      <c r="Y644" s="321" t="str">
        <f>IF(OR(W644=[20]Listas!$F$53,W644=[20]Listas!$F$54),[20]Listas!$G$53,IF(W644=[20]Listas!$F$55,[20]Listas!$G$55,""))</f>
        <v/>
      </c>
      <c r="Z644" s="331"/>
      <c r="AA644" s="182" t="str">
        <f>+IF(Z644=[20]Listas!$E$46,[20]Listas!$F$46,IF(Z644=[20]Listas!$E$47,[20]Listas!$F$47,""))</f>
        <v/>
      </c>
      <c r="AB644" s="183" t="str">
        <f>IFERROR(X644+AA644,"")</f>
        <v/>
      </c>
      <c r="AC644" s="319"/>
      <c r="AD644" s="319"/>
      <c r="AE644" s="323"/>
      <c r="AF644" s="305" t="str">
        <f t="shared" si="90"/>
        <v>Baja</v>
      </c>
      <c r="AG644" s="145">
        <f>IF(Y644=[20]Listas!$G$53,AG643-(AG643*AB644),AG643)</f>
        <v>0.36</v>
      </c>
      <c r="AH644" s="562"/>
      <c r="AI644" s="305" t="str">
        <f t="shared" si="95"/>
        <v>Moderado</v>
      </c>
      <c r="AJ644" s="145">
        <f>IF(Y644=[20]Listas!$G$55,AJ643-(AJ643*AB644),AJ643)</f>
        <v>0.6</v>
      </c>
      <c r="AK644" s="562"/>
      <c r="AL644" s="565"/>
      <c r="AM644" s="565"/>
      <c r="AN644" s="565"/>
      <c r="AO644" s="568"/>
      <c r="AP644" s="571"/>
      <c r="AQ644" s="343"/>
      <c r="AR644" s="191"/>
    </row>
    <row r="645" spans="2:44" ht="15" hidden="1" customHeight="1" thickTop="1" x14ac:dyDescent="0.35">
      <c r="B645" s="537"/>
      <c r="C645" s="560"/>
      <c r="D645" s="574"/>
      <c r="E645" s="577"/>
      <c r="F645" s="646"/>
      <c r="G645" s="663"/>
      <c r="H645" s="666"/>
      <c r="I645" s="589"/>
      <c r="J645" s="589"/>
      <c r="K645" s="592"/>
      <c r="L645" s="589"/>
      <c r="M645" s="595"/>
      <c r="N645" s="598"/>
      <c r="O645" s="601"/>
      <c r="P645" s="595"/>
      <c r="Q645" s="604"/>
      <c r="R645" s="601"/>
      <c r="S645" s="287"/>
      <c r="T645" s="604"/>
      <c r="U645" s="142" t="s">
        <v>190</v>
      </c>
      <c r="V645" s="415"/>
      <c r="W645" s="331"/>
      <c r="X645" s="320" t="str">
        <f>IF(W645=[20]Listas!$B$46,[20]Listas!$C$46,IF(W645=[20]Listas!$B$47,[20]Listas!$C$47,IF(W645=[20]Listas!$B$48,[20]Listas!$C$48,"")))</f>
        <v/>
      </c>
      <c r="Y645" s="321" t="str">
        <f>IF(OR(W645=[20]Listas!$F$53,W645=[20]Listas!$F$54),[20]Listas!$G$53,IF(W645=[20]Listas!$F$55,[20]Listas!$G$55,""))</f>
        <v/>
      </c>
      <c r="Z645" s="331"/>
      <c r="AA645" s="182" t="str">
        <f>+IF(Z645=[20]Listas!$E$46,[20]Listas!$F$46,IF(Z645=[20]Listas!$E$47,[20]Listas!$F$47,""))</f>
        <v/>
      </c>
      <c r="AB645" s="183" t="str">
        <f t="shared" ref="AB645:AB651" si="98">IFERROR(X645+AA645,"")</f>
        <v/>
      </c>
      <c r="AC645" s="319"/>
      <c r="AD645" s="319"/>
      <c r="AE645" s="323"/>
      <c r="AF645" s="305" t="str">
        <f t="shared" si="90"/>
        <v>Baja</v>
      </c>
      <c r="AG645" s="145">
        <f>IF(Y645=[20]Listas!$G$53,AG644-(AG644*AB645),AG644)</f>
        <v>0.36</v>
      </c>
      <c r="AH645" s="562"/>
      <c r="AI645" s="305" t="str">
        <f t="shared" si="95"/>
        <v>Moderado</v>
      </c>
      <c r="AJ645" s="145">
        <f>IF(Y645=[20]Listas!$G$55,AJ644-(AJ644*AB645),AJ644)</f>
        <v>0.6</v>
      </c>
      <c r="AK645" s="562"/>
      <c r="AL645" s="565"/>
      <c r="AM645" s="565"/>
      <c r="AN645" s="565"/>
      <c r="AO645" s="568"/>
      <c r="AP645" s="571"/>
      <c r="AQ645" s="344"/>
      <c r="AR645" s="191"/>
    </row>
    <row r="646" spans="2:44" ht="15" hidden="1" customHeight="1" thickTop="1" x14ac:dyDescent="0.35">
      <c r="B646" s="537"/>
      <c r="C646" s="560"/>
      <c r="D646" s="574"/>
      <c r="E646" s="577"/>
      <c r="F646" s="646"/>
      <c r="G646" s="663"/>
      <c r="H646" s="666"/>
      <c r="I646" s="589"/>
      <c r="J646" s="589"/>
      <c r="K646" s="592"/>
      <c r="L646" s="589"/>
      <c r="M646" s="595"/>
      <c r="N646" s="598"/>
      <c r="O646" s="601"/>
      <c r="P646" s="595"/>
      <c r="Q646" s="604"/>
      <c r="R646" s="601"/>
      <c r="S646" s="287"/>
      <c r="T646" s="604"/>
      <c r="U646" s="142" t="s">
        <v>198</v>
      </c>
      <c r="V646" s="415"/>
      <c r="W646" s="331"/>
      <c r="X646" s="320" t="str">
        <f>IF(W646=[20]Listas!$B$46,[20]Listas!$C$46,IF(W646=[20]Listas!$B$47,[20]Listas!$C$47,IF(W646=[20]Listas!$B$48,[20]Listas!$C$48,"")))</f>
        <v/>
      </c>
      <c r="Y646" s="321" t="str">
        <f>IF(OR(W646=[20]Listas!$F$53,W646=[20]Listas!$F$54),[20]Listas!$G$53,IF(W646=[20]Listas!$F$55,[20]Listas!$G$55,""))</f>
        <v/>
      </c>
      <c r="Z646" s="331"/>
      <c r="AA646" s="182" t="str">
        <f>+IF(Z646=[20]Listas!$E$46,[20]Listas!$F$46,IF(Z646=[20]Listas!$E$47,[20]Listas!$F$47,""))</f>
        <v/>
      </c>
      <c r="AB646" s="183" t="str">
        <f t="shared" si="98"/>
        <v/>
      </c>
      <c r="AC646" s="319"/>
      <c r="AD646" s="319"/>
      <c r="AE646" s="323"/>
      <c r="AF646" s="305" t="str">
        <f t="shared" si="90"/>
        <v>Baja</v>
      </c>
      <c r="AG646" s="145">
        <f>IF(Y646=[20]Listas!$G$53,AG645-(AG645*AB646),AG645)</f>
        <v>0.36</v>
      </c>
      <c r="AH646" s="562"/>
      <c r="AI646" s="305" t="str">
        <f t="shared" si="95"/>
        <v>Moderado</v>
      </c>
      <c r="AJ646" s="145">
        <f>IF(Y646=[20]Listas!$G$55,AJ645-(AJ645*AB646),AJ645)</f>
        <v>0.6</v>
      </c>
      <c r="AK646" s="562"/>
      <c r="AL646" s="565"/>
      <c r="AM646" s="565"/>
      <c r="AN646" s="565"/>
      <c r="AO646" s="568"/>
      <c r="AP646" s="571"/>
      <c r="AQ646" s="343"/>
      <c r="AR646" s="191"/>
    </row>
    <row r="647" spans="2:44" ht="15.75" hidden="1" customHeight="1" thickTop="1" x14ac:dyDescent="0.35">
      <c r="B647" s="537"/>
      <c r="C647" s="560"/>
      <c r="D647" s="574"/>
      <c r="E647" s="577"/>
      <c r="F647" s="646"/>
      <c r="G647" s="663"/>
      <c r="H647" s="666"/>
      <c r="I647" s="589"/>
      <c r="J647" s="589"/>
      <c r="K647" s="592"/>
      <c r="L647" s="589"/>
      <c r="M647" s="595"/>
      <c r="N647" s="598"/>
      <c r="O647" s="601"/>
      <c r="P647" s="595"/>
      <c r="Q647" s="604"/>
      <c r="R647" s="601"/>
      <c r="S647" s="288"/>
      <c r="T647" s="604"/>
      <c r="U647" s="142" t="s">
        <v>208</v>
      </c>
      <c r="V647" s="415"/>
      <c r="W647" s="331"/>
      <c r="X647" s="320" t="str">
        <f>IF(W647=[20]Listas!$B$46,[20]Listas!$C$46,IF(W647=[20]Listas!$B$47,[20]Listas!$C$47,IF(W647=[20]Listas!$B$48,[20]Listas!$C$48,"")))</f>
        <v/>
      </c>
      <c r="Y647" s="321" t="str">
        <f>IF(OR(W647=[20]Listas!$F$53,W647=[20]Listas!$F$54),[20]Listas!$G$53,IF(W647=[20]Listas!$F$55,[20]Listas!$G$55,""))</f>
        <v/>
      </c>
      <c r="Z647" s="331"/>
      <c r="AA647" s="182" t="str">
        <f>+IF(Z647=[20]Listas!$E$46,[20]Listas!$F$46,IF(Z647=[20]Listas!$E$47,[20]Listas!$F$47,""))</f>
        <v/>
      </c>
      <c r="AB647" s="183" t="str">
        <f t="shared" si="98"/>
        <v/>
      </c>
      <c r="AC647" s="319"/>
      <c r="AD647" s="319"/>
      <c r="AE647" s="323"/>
      <c r="AF647" s="305" t="str">
        <f t="shared" si="90"/>
        <v>Baja</v>
      </c>
      <c r="AG647" s="145">
        <f>IF(Y647=[20]Listas!$G$53,AG646-(AG646*AB647),AG646)</f>
        <v>0.36</v>
      </c>
      <c r="AH647" s="562"/>
      <c r="AI647" s="305" t="str">
        <f t="shared" si="95"/>
        <v>Moderado</v>
      </c>
      <c r="AJ647" s="145">
        <f>IF(Y647=[20]Listas!$G$55,AJ646-(AJ646*AB647),AJ646)</f>
        <v>0.6</v>
      </c>
      <c r="AK647" s="562"/>
      <c r="AL647" s="565"/>
      <c r="AM647" s="565"/>
      <c r="AN647" s="565"/>
      <c r="AO647" s="568"/>
      <c r="AP647" s="571"/>
      <c r="AQ647" s="344"/>
      <c r="AR647" s="191"/>
    </row>
    <row r="648" spans="2:44" ht="15" hidden="1" customHeight="1" thickTop="1" x14ac:dyDescent="0.35">
      <c r="B648" s="537"/>
      <c r="C648" s="560"/>
      <c r="D648" s="574"/>
      <c r="E648" s="577"/>
      <c r="F648" s="646"/>
      <c r="G648" s="663"/>
      <c r="H648" s="666"/>
      <c r="I648" s="589"/>
      <c r="J648" s="589"/>
      <c r="K648" s="592"/>
      <c r="L648" s="589"/>
      <c r="M648" s="595"/>
      <c r="N648" s="598"/>
      <c r="O648" s="601"/>
      <c r="P648" s="595"/>
      <c r="Q648" s="604"/>
      <c r="R648" s="601"/>
      <c r="S648" s="289"/>
      <c r="T648" s="604"/>
      <c r="U648" s="142" t="s">
        <v>215</v>
      </c>
      <c r="V648" s="418"/>
      <c r="W648" s="331"/>
      <c r="X648" s="320" t="str">
        <f>IF(W648=[20]Listas!$B$46,[20]Listas!$C$46,IF(W648=[20]Listas!$B$47,[20]Listas!$C$47,IF(W648=[20]Listas!$B$48,[20]Listas!$C$48,"")))</f>
        <v/>
      </c>
      <c r="Y648" s="321" t="str">
        <f>IF(OR(W648=[20]Listas!$F$53,W648=[20]Listas!$F$54),[20]Listas!$G$53,IF(W648=[20]Listas!$F$55,[20]Listas!$G$55,""))</f>
        <v/>
      </c>
      <c r="Z648" s="331"/>
      <c r="AA648" s="182" t="str">
        <f>+IF(Z648=[20]Listas!$E$46,[20]Listas!$F$46,IF(Z648=[20]Listas!$E$47,[20]Listas!$F$47,""))</f>
        <v/>
      </c>
      <c r="AB648" s="183" t="str">
        <f t="shared" si="98"/>
        <v/>
      </c>
      <c r="AC648" s="319"/>
      <c r="AD648" s="322"/>
      <c r="AE648" s="323"/>
      <c r="AF648" s="305" t="str">
        <f t="shared" si="90"/>
        <v>Baja</v>
      </c>
      <c r="AG648" s="145">
        <f>IF(Y648=[20]Listas!$G$53,AG647-(AG647*AB648),AG647)</f>
        <v>0.36</v>
      </c>
      <c r="AH648" s="562"/>
      <c r="AI648" s="305" t="str">
        <f t="shared" si="95"/>
        <v>Moderado</v>
      </c>
      <c r="AJ648" s="145">
        <f>IF(Y648=[20]Listas!$G$55,AJ647-(AJ647*AB648),AJ647)</f>
        <v>0.6</v>
      </c>
      <c r="AK648" s="562"/>
      <c r="AL648" s="565"/>
      <c r="AM648" s="565"/>
      <c r="AN648" s="565"/>
      <c r="AO648" s="568"/>
      <c r="AP648" s="571"/>
      <c r="AQ648" s="345"/>
      <c r="AR648" s="191"/>
    </row>
    <row r="649" spans="2:44" ht="15" hidden="1" customHeight="1" thickTop="1" x14ac:dyDescent="0.35">
      <c r="B649" s="537"/>
      <c r="C649" s="560"/>
      <c r="D649" s="574"/>
      <c r="E649" s="577"/>
      <c r="F649" s="646"/>
      <c r="G649" s="663"/>
      <c r="H649" s="666"/>
      <c r="I649" s="589"/>
      <c r="J649" s="589"/>
      <c r="K649" s="592"/>
      <c r="L649" s="589"/>
      <c r="M649" s="595"/>
      <c r="N649" s="598"/>
      <c r="O649" s="601"/>
      <c r="P649" s="595"/>
      <c r="Q649" s="604"/>
      <c r="R649" s="601"/>
      <c r="S649" s="289"/>
      <c r="T649" s="604"/>
      <c r="U649" s="142" t="s">
        <v>220</v>
      </c>
      <c r="V649" s="418"/>
      <c r="W649" s="331"/>
      <c r="X649" s="320" t="str">
        <f>IF(W649=[20]Listas!$B$46,[20]Listas!$C$46,IF(W649=[20]Listas!$B$47,[20]Listas!$C$47,IF(W649=[20]Listas!$B$48,[20]Listas!$C$48,"")))</f>
        <v/>
      </c>
      <c r="Y649" s="321" t="str">
        <f>IF(OR(W649=[20]Listas!$F$53,W649=[20]Listas!$F$54),[20]Listas!$G$53,IF(W649=[20]Listas!$F$55,[20]Listas!$G$55,""))</f>
        <v/>
      </c>
      <c r="Z649" s="331"/>
      <c r="AA649" s="182" t="str">
        <f>+IF(Z649=[20]Listas!$E$46,[20]Listas!$F$46,IF(Z649=[20]Listas!$E$47,[20]Listas!$F$47,""))</f>
        <v/>
      </c>
      <c r="AB649" s="183" t="str">
        <f t="shared" si="98"/>
        <v/>
      </c>
      <c r="AC649" s="319"/>
      <c r="AD649" s="322"/>
      <c r="AE649" s="323"/>
      <c r="AF649" s="305" t="str">
        <f t="shared" si="90"/>
        <v>Baja</v>
      </c>
      <c r="AG649" s="145">
        <f>IF(Y649=[20]Listas!$G$53,AG648-(AG648*AB649),AG648)</f>
        <v>0.36</v>
      </c>
      <c r="AH649" s="562"/>
      <c r="AI649" s="305" t="str">
        <f t="shared" si="95"/>
        <v>Moderado</v>
      </c>
      <c r="AJ649" s="145">
        <f>IF(Y649=[20]Listas!$G$55,AJ648-(AJ648*AB649),AJ648)</f>
        <v>0.6</v>
      </c>
      <c r="AK649" s="562"/>
      <c r="AL649" s="565"/>
      <c r="AM649" s="565"/>
      <c r="AN649" s="565"/>
      <c r="AO649" s="568"/>
      <c r="AP649" s="571"/>
      <c r="AQ649" s="343"/>
      <c r="AR649" s="191"/>
    </row>
    <row r="650" spans="2:44" ht="15" hidden="1" customHeight="1" thickTop="1" x14ac:dyDescent="0.35">
      <c r="B650" s="537"/>
      <c r="C650" s="560"/>
      <c r="D650" s="574"/>
      <c r="E650" s="577"/>
      <c r="F650" s="646"/>
      <c r="G650" s="663"/>
      <c r="H650" s="666"/>
      <c r="I650" s="589"/>
      <c r="J650" s="589"/>
      <c r="K650" s="592"/>
      <c r="L650" s="589"/>
      <c r="M650" s="595"/>
      <c r="N650" s="598"/>
      <c r="O650" s="601"/>
      <c r="P650" s="595"/>
      <c r="Q650" s="604"/>
      <c r="R650" s="601"/>
      <c r="S650" s="289"/>
      <c r="T650" s="604"/>
      <c r="U650" s="142" t="s">
        <v>223</v>
      </c>
      <c r="V650" s="418"/>
      <c r="W650" s="331"/>
      <c r="X650" s="320" t="str">
        <f>IF(W650=[20]Listas!$B$46,[20]Listas!$C$46,IF(W650=[20]Listas!$B$47,[20]Listas!$C$47,IF(W650=[20]Listas!$B$48,[20]Listas!$C$48,"")))</f>
        <v/>
      </c>
      <c r="Y650" s="321" t="str">
        <f>IF(OR(W650=[20]Listas!$F$53,W650=[20]Listas!$F$54),[20]Listas!$G$53,IF(W650=[20]Listas!$F$55,[20]Listas!$G$55,""))</f>
        <v/>
      </c>
      <c r="Z650" s="331"/>
      <c r="AA650" s="182" t="str">
        <f>+IF(Z650=[20]Listas!$E$46,[20]Listas!$F$46,IF(Z650=[20]Listas!$E$47,[20]Listas!$F$47,""))</f>
        <v/>
      </c>
      <c r="AB650" s="183" t="str">
        <f t="shared" si="98"/>
        <v/>
      </c>
      <c r="AC650" s="319"/>
      <c r="AD650" s="322"/>
      <c r="AE650" s="323"/>
      <c r="AF650" s="305" t="str">
        <f t="shared" si="90"/>
        <v>Baja</v>
      </c>
      <c r="AG650" s="145">
        <f>IF(Y650=[20]Listas!$G$53,AG649-(AG649*AB650),AG649)</f>
        <v>0.36</v>
      </c>
      <c r="AH650" s="562"/>
      <c r="AI650" s="305" t="str">
        <f t="shared" si="95"/>
        <v>Moderado</v>
      </c>
      <c r="AJ650" s="145">
        <f>IF(Y650=[20]Listas!$G$55,AJ649-(AJ649*AB650),AJ649)</f>
        <v>0.6</v>
      </c>
      <c r="AK650" s="562"/>
      <c r="AL650" s="565"/>
      <c r="AM650" s="565"/>
      <c r="AN650" s="565"/>
      <c r="AO650" s="568"/>
      <c r="AP650" s="571"/>
      <c r="AQ650" s="344"/>
      <c r="AR650" s="191"/>
    </row>
    <row r="651" spans="2:44" ht="15.75" hidden="1" customHeight="1" thickTop="1" x14ac:dyDescent="0.35">
      <c r="B651" s="537"/>
      <c r="C651" s="560"/>
      <c r="D651" s="692"/>
      <c r="E651" s="577"/>
      <c r="F651" s="646"/>
      <c r="G651" s="663"/>
      <c r="H651" s="666"/>
      <c r="I651" s="589"/>
      <c r="J651" s="589"/>
      <c r="K651" s="592"/>
      <c r="L651" s="589"/>
      <c r="M651" s="595"/>
      <c r="N651" s="659"/>
      <c r="O651" s="601"/>
      <c r="P651" s="595"/>
      <c r="Q651" s="660"/>
      <c r="R651" s="601"/>
      <c r="S651" s="289"/>
      <c r="T651" s="660"/>
      <c r="U651" s="213" t="s">
        <v>224</v>
      </c>
      <c r="V651" s="446"/>
      <c r="W651" s="353"/>
      <c r="X651" s="354" t="str">
        <f>IF(W651=[20]Listas!$B$46,[20]Listas!$C$46,IF(W651=[20]Listas!$B$47,[20]Listas!$C$47,IF(W651=[20]Listas!$B$48,[20]Listas!$C$48,"")))</f>
        <v/>
      </c>
      <c r="Y651" s="355" t="str">
        <f>IF(OR(W651=[20]Listas!$F$53,W651=[20]Listas!$F$54),[20]Listas!$G$53,IF(W651=[20]Listas!$F$55,[20]Listas!$G$55,""))</f>
        <v/>
      </c>
      <c r="Z651" s="353"/>
      <c r="AA651" s="214" t="str">
        <f>+IF(Z651=[20]Listas!$E$46,[20]Listas!$F$46,IF(Z651=[20]Listas!$E$47,[20]Listas!$F$47,""))</f>
        <v/>
      </c>
      <c r="AB651" s="215" t="str">
        <f t="shared" si="98"/>
        <v/>
      </c>
      <c r="AC651" s="325"/>
      <c r="AD651" s="326"/>
      <c r="AE651" s="327"/>
      <c r="AF651" s="352" t="str">
        <f t="shared" si="90"/>
        <v>Baja</v>
      </c>
      <c r="AG651" s="205">
        <f>IF(Y651=[20]Listas!$G$53,AG650-(AG650*AB651),AG650)</f>
        <v>0.36</v>
      </c>
      <c r="AH651" s="657"/>
      <c r="AI651" s="352" t="str">
        <f t="shared" si="95"/>
        <v>Moderado</v>
      </c>
      <c r="AJ651" s="205">
        <f>IF(Y651=[20]Listas!$G$55,AJ650-(AJ650*AB651),AJ650)</f>
        <v>0.6</v>
      </c>
      <c r="AK651" s="657"/>
      <c r="AL651" s="658"/>
      <c r="AM651" s="658"/>
      <c r="AN651" s="658"/>
      <c r="AO651" s="661"/>
      <c r="AP651" s="571"/>
      <c r="AQ651" s="345"/>
      <c r="AR651" s="197"/>
    </row>
    <row r="652" spans="2:44" ht="176.15" customHeight="1" thickTop="1" thickBot="1" x14ac:dyDescent="0.4">
      <c r="B652" s="537"/>
      <c r="C652" s="560"/>
      <c r="D652" s="573" t="s">
        <v>784</v>
      </c>
      <c r="E652" s="576" t="s">
        <v>3</v>
      </c>
      <c r="F652" s="645" t="s">
        <v>785</v>
      </c>
      <c r="G652" s="662" t="s">
        <v>786</v>
      </c>
      <c r="H652" s="585" t="s">
        <v>787</v>
      </c>
      <c r="I652" s="588" t="s">
        <v>20</v>
      </c>
      <c r="J652" s="588" t="s">
        <v>22</v>
      </c>
      <c r="K652" s="591" t="s">
        <v>788</v>
      </c>
      <c r="L652" s="588" t="s">
        <v>185</v>
      </c>
      <c r="M652" s="594" t="s">
        <v>169</v>
      </c>
      <c r="N652" s="597" t="str">
        <f>+IF(M652="","",IF(M652=$BO$15,$BN$15,IF(M652=$BO$16,$BN$16,IF(M652=$BO$17,$BN$17,IF(M652=$BO$18,$BN$18,IF(M652=$BO$19,$BN$19))))))</f>
        <v>Alta</v>
      </c>
      <c r="O652" s="600">
        <f>+IF(M652="","",IF(M652=$BO$15,$BR$15,IF(M652=$BO$16,$BR$16,IF(M652=$BO$17,$BR$17,IF(M652=$BO$18,$BR$18,IF(M652=$BO$19,$BR$19))))))</f>
        <v>0.8</v>
      </c>
      <c r="P652" s="594" t="s">
        <v>221</v>
      </c>
      <c r="Q652" s="603" t="str">
        <f>+IF(P652="","",IF(P652='[20]Mapa de Calor inherente'!$AF$6,'[20]Mapa de Calor inherente'!$AD$6,IF(P652='[20]Mapa de Calor inherente'!$AF$7,'[20]Mapa de Calor inherente'!$AD$7,IF(P652='[20]Mapa de Calor inherente'!$AF$8,'[20]Mapa de Calor inherente'!$AD$8,IF(P652='[20]Mapa de Calor inherente'!$AF$9,'[20]Mapa de Calor inherente'!$AD$9,IF(P652='[20]Mapa de Calor inherente'!$AF$10,'[20]Mapa de Calor inherente'!$AD$10,IF(P652='[20]Mapa de Calor inherente'!$AG$6,'[20]Mapa de Calor inherente'!$AD$6,IF(P652='[20]Mapa de Calor inherente'!$AG$7,'[20]Mapa de Calor inherente'!$AD$7,IF(P652='[20]Mapa de Calor inherente'!$AG$8,'[20]Mapa de Calor inherente'!$AD$8,IF(P652='[20]Mapa de Calor inherente'!$AG$9,'[20]Mapa de Calor inherente'!$AD$9,IF(P652='[20]Mapa de Calor inherente'!$AG$10,'[20]Mapa de Calor inherente'!$AD$10,IF(P652='[20]Mapa de Calor inherente'!$AD$8,'[20]Mapa de Calor inherente'!$AD$8,IF(P652='[20]Mapa de Calor inherente'!$AD$9,'[20]Mapa de Calor inherente'!$AD$9,IF(P652='[20]Mapa de Calor inherente'!$AD$10,'[20]Mapa de Calor inherente'!$AD$10))))))))))))))</f>
        <v>Catastrófico</v>
      </c>
      <c r="R652" s="600">
        <f>+IF(P652="","",IF(P652='[20]Mapa de Calor inherente'!$AF$6,'[20]Mapa de Calor inherente'!$AE$6,IF(P652='[20]Mapa de Calor inherente'!$AF$7,'[20]Mapa de Calor inherente'!$AE$7,IF(P652='[20]Mapa de Calor inherente'!$AF$8,'[20]Mapa de Calor inherente'!$AE$8,IF(P652='[20]Mapa de Calor inherente'!$AF$9,'[20]Mapa de Calor inherente'!$AE$9,IF(P652='[20]Mapa de Calor inherente'!$AF$10,'[20]Mapa de Calor inherente'!$AE$10,IF(P652='[20]Mapa de Calor inherente'!$AG$6,'[20]Mapa de Calor inherente'!$AE$6,IF(P652='[20]Mapa de Calor inherente'!$AG$7,'[20]Mapa de Calor inherente'!$AE$7,IF(P652='[20]Mapa de Calor inherente'!$AG$8,'[20]Mapa de Calor inherente'!$AE$8,IF(P652='[20]Mapa de Calor inherente'!$AG$9,'[20]Mapa de Calor inherente'!$AE$9,IF(P652='[20]Mapa de Calor inherente'!$AG$10,'[20]Mapa de Calor inherente'!$AE$10,IF(P652='[20]Mapa de Calor inherente'!$AD$8,'[20]Mapa de Calor inherente'!$AE$8,IF(P652='[20]Mapa de Calor inherente'!$AD$9,'[20]Mapa de Calor inherente'!$AE$9,IF(P652='[20]Mapa de Calor inherente'!$AD$10,'[20]Mapa de Calor inherente'!$AE$10))))))))))))))</f>
        <v>1</v>
      </c>
      <c r="S652" s="292" t="e">
        <f>IF(N652="","",IF(R652="","",(N652*R652)))</f>
        <v>#VALUE!</v>
      </c>
      <c r="T652" s="603" t="str">
        <f>+IF(N652=$BB$17,IF(Q652=$BC$16,$BC$17,IF(Q652=$BD$16,$BD$17,IF(Q652=$BE$16,$BE$17,IF(Q652=$BF$16,$BF$17,IF(Q652=$BG$16,$BG$17))))),IF(N652=$BB$18,IF(Q652=$BC$16,$BC$18,IF(Q652=$BD$16,$BD$18,IF(Q652=$BE$16,$BE$18,IF(Q652=$BF$16,$BF$18,IF(Q652=$BG$16,$BG$18))))),IF(N652=$BB$19,IF(Q652=$BC$16,$BC$19,IF(Q652=$BD$16,$BD$19,IF(Q652=$BE$16,$BE$19,IF(Q652=$BF$16,$BF$19,IF(Q652=$BG$16,$BG$19))))),IF(N652=$BB$20,IF(Q652=$BC$16,$BC$20,IF(Q652=$BD$16,$BD$20,IF(Q652=$BE$16,$BE$20,IF(Q652=$BF$16,$BF$20,IF(Q652=$BG$16,$BG$20))))),IF(N652=$BB$21,IF(Q652=$BC$16,$BC$21,IF(Q652=$BD$16,$BD$21,IF(Q652=$BE$16,$BE$21,IF(Q652=$BF$16,$BF$21,IF(Q652=$BG$16,$BG$21))))),"")))))</f>
        <v>Extremo</v>
      </c>
      <c r="U652" s="241" t="s">
        <v>171</v>
      </c>
      <c r="V652" s="428" t="s">
        <v>789</v>
      </c>
      <c r="W652" s="313" t="s">
        <v>40</v>
      </c>
      <c r="X652" s="314">
        <f>IF(W652=[20]Listas!$B$46,[20]Listas!$C$46,IF(W652=[20]Listas!$B$47,[20]Listas!$C$47,IF(W652=[20]Listas!$B$48,[20]Listas!$C$48,"")))</f>
        <v>0.25</v>
      </c>
      <c r="Y652" s="315" t="str">
        <f>IF(OR(W652=[20]Listas!$F$53,W652=[20]Listas!$F$54),[20]Listas!$G$53,IF(W652=[20]Listas!$F$55,[20]Listas!$G$55,""))</f>
        <v>Probabilidad</v>
      </c>
      <c r="Z652" s="313" t="s">
        <v>43</v>
      </c>
      <c r="AA652" s="314">
        <f>+IF(Z652=[20]Listas!$E$46,[20]Listas!$F$46,IF(Z652=[20]Listas!$E$47,[20]Listas!$F$47,""))</f>
        <v>0.15</v>
      </c>
      <c r="AB652" s="181">
        <f>IFERROR(X652+AA652,"")</f>
        <v>0.4</v>
      </c>
      <c r="AC652" s="313" t="s">
        <v>64</v>
      </c>
      <c r="AD652" s="316" t="s">
        <v>58</v>
      </c>
      <c r="AE652" s="317" t="s">
        <v>59</v>
      </c>
      <c r="AF652" s="299" t="str">
        <f t="shared" ref="AF652:AF715" si="99">IF(AG652="","",IF(AG652&lt;=20%,"Muy baja",IF(AG652&lt;=40%,"Baja",IF(AG652&lt;=60%,"Media",IF(AG652&lt;=80%,"Alta","Muy alta")))))</f>
        <v>Media</v>
      </c>
      <c r="AG652" s="141">
        <f>IF(Y652=[20]Listas!$G$53,O652-(O652*AB652),O652)</f>
        <v>0.48</v>
      </c>
      <c r="AH652" s="561">
        <f>+IF(AG661="","",AG661)</f>
        <v>0.33599999999999997</v>
      </c>
      <c r="AI652" s="299" t="str">
        <f>IF(AJ652="","",IF(AJ652&lt;=20%,"Leve",IF(AJ652&lt;=40%,"Menor",IF(AJ652&lt;=60%,"Moderado",IF(AJ652&lt;=80%,"Mayor","Catastrófico")))))</f>
        <v>Catastrófico</v>
      </c>
      <c r="AJ652" s="141">
        <f>IF(Y652=[20]Listas!$G$55,R652-(R652*AB652),R652)</f>
        <v>1</v>
      </c>
      <c r="AK652" s="561">
        <f>+IF(AJ661="","",AJ661)</f>
        <v>1</v>
      </c>
      <c r="AL652" s="564" t="str">
        <f>+IF(AH652=0,"",IF(AH652&lt;=$BA$21,$BB$21,IF(AH652&lt;=$BA$20,$BB$20,IF(AH652&lt;=$BA$19,$BB$19,IF(AH652&lt;=$BA$18,$BB$18,IF(AH652&lt;=$BA$17,$BB$17,""))))))</f>
        <v>Baja</v>
      </c>
      <c r="AM652" s="564" t="str">
        <f>+IF(AK652=0,"",IF(AK652&lt;=$BC$15,$BC$16,IF(AK652&lt;=$BD$15,$BD$16,IF(AK652&lt;=$BE$15,$BE$16,IF(AK652&lt;=$BF$15,$BF$16,IF(AK652&lt;=$BG$15,$BG$16,""))))))</f>
        <v>Catastrófico</v>
      </c>
      <c r="AN652" s="564" t="str">
        <f>IF(AL652=$BB$17,IF(AM652=$BC$16,$BC$17,IF(AM652=$BD$16,$BD$17,IF(AM652=$BE$16,$BE$17,IF(AM652=$BF$16,$BF$17,IF(AM652=$BG$16,$BG$17))))),IF(AL652=$BB$18,IF(AM652=$BC$16,$BC$18,IF(AM652=$BD$16,$BD$18,IF(AM652=$BE$16,$BE$18,IF(AM652=$BF$16,$BF$18,IF(AM652=$BG$16,$BG$18))))),IF(AL652=$BB$19,IF(AM652=$BC$16,$BC$19,IF(AM652=$BD$16,$BD$19,IF(AM652=$BE$16,$BE$19,IF(AM652=$BF$16,$BF$19,IF(AM652=$BG$16,$BG$19))))),IF(AL652=$BB$20,IF(AM652=$BC$16,$BC$20,IF(AM652=$BD$16,$BD$20,IF(AM652=$BE$16,$BE$20,IF(AM652=$BF$16,$BF$20,IF(AM652=$BG$16,$BG$20))))),IF(AL652=$BB$21,IF(AM652=$BC$16,$BC$21,IF(AM652=$BD$16,$BD$21,IF(AM652=$BE$16,$BE$21,IF(AM652=$BF$16,$BF$21,IF(AM652=$BG$16,$BG$21))))),"")))))</f>
        <v>Extremo</v>
      </c>
      <c r="AO652" s="567" t="str">
        <f>IF(AP652="","",IF(AP652=[20]Listas!$F$61,[20]Listas!$G$61,IF(AP652=[20]Listas!$F$63,[20]Listas!$G$63,IF(AP652=[20]Listas!$F$64,[20]Listas!$G$64))))</f>
        <v>Requiere Plan de Acción</v>
      </c>
      <c r="AP652" s="570" t="str">
        <f>IF(AN652="","",IF(OR(AN652=[20]Listas!$E$61,AN652=[20]Listas!$E$62),[20]Listas!$F$61,IF(AN652=[20]Listas!$E$63,[20]Listas!$F$63,IF(AN652=[20]Listas!$E$64,[20]Listas!$F$64))))</f>
        <v>Reducir, evitar, compartir o transferir el riesgo</v>
      </c>
      <c r="AQ652" s="358" t="s">
        <v>80</v>
      </c>
      <c r="AR652" s="119" t="s">
        <v>790</v>
      </c>
    </row>
    <row r="653" spans="2:44" ht="99" thickTop="1" thickBot="1" x14ac:dyDescent="0.4">
      <c r="B653" s="537"/>
      <c r="C653" s="560"/>
      <c r="D653" s="574"/>
      <c r="E653" s="577"/>
      <c r="F653" s="646"/>
      <c r="G653" s="663"/>
      <c r="H653" s="586"/>
      <c r="I653" s="589"/>
      <c r="J653" s="589"/>
      <c r="K653" s="592"/>
      <c r="L653" s="589"/>
      <c r="M653" s="595"/>
      <c r="N653" s="598"/>
      <c r="O653" s="601"/>
      <c r="P653" s="595"/>
      <c r="Q653" s="604"/>
      <c r="R653" s="601"/>
      <c r="S653" s="286"/>
      <c r="T653" s="604"/>
      <c r="U653" s="212" t="s">
        <v>174</v>
      </c>
      <c r="V653" s="429" t="s">
        <v>791</v>
      </c>
      <c r="W653" s="331" t="s">
        <v>42</v>
      </c>
      <c r="X653" s="320">
        <f>IF(W653=[20]Listas!$B$46,[20]Listas!$C$46,IF(W653=[20]Listas!$B$47,[20]Listas!$C$47,IF(W653=[20]Listas!$B$48,[20]Listas!$C$48,"")))</f>
        <v>0.15</v>
      </c>
      <c r="Y653" s="321" t="str">
        <f>IF(OR(W653=[20]Listas!$F$53,W653=[20]Listas!$F$54),[20]Listas!$G$53,IF(W653=[20]Listas!$F$55,[20]Listas!$G$55,""))</f>
        <v>Probabilidad</v>
      </c>
      <c r="Z653" s="319" t="s">
        <v>43</v>
      </c>
      <c r="AA653" s="182">
        <f>+IF(Z653=[20]Listas!$E$46,[20]Listas!$F$46,IF(Z653=[20]Listas!$E$47,[20]Listas!$F$47,""))</f>
        <v>0.15</v>
      </c>
      <c r="AB653" s="183">
        <f>IFERROR(X653+AA653,"")</f>
        <v>0.3</v>
      </c>
      <c r="AC653" s="319" t="s">
        <v>64</v>
      </c>
      <c r="AD653" s="322" t="s">
        <v>58</v>
      </c>
      <c r="AE653" s="323" t="s">
        <v>59</v>
      </c>
      <c r="AF653" s="305" t="str">
        <f t="shared" si="99"/>
        <v>Baja</v>
      </c>
      <c r="AG653" s="145">
        <f>IF(Y653=[20]Listas!$G$53,AG652-(AG652*AB653),AG652)</f>
        <v>0.33599999999999997</v>
      </c>
      <c r="AH653" s="562"/>
      <c r="AI653" s="305" t="str">
        <f t="shared" ref="AI653:AI661" si="100">IF(AJ653="","",IF(AJ653&lt;=20%,"Leve",IF(AJ653&lt;=40%,"Menor",IF(AJ653&lt;=60%,"Moderado",IF(AJ653&lt;=80%,"Mayor","Catastrófico")))))</f>
        <v>Catastrófico</v>
      </c>
      <c r="AJ653" s="145">
        <f>IF(Y653=[20]Listas!$G$55,AJ652-(AJ652*AB653),AJ652)</f>
        <v>1</v>
      </c>
      <c r="AK653" s="562"/>
      <c r="AL653" s="565"/>
      <c r="AM653" s="565"/>
      <c r="AN653" s="565"/>
      <c r="AO653" s="568"/>
      <c r="AP653" s="571"/>
      <c r="AQ653" s="343" t="s">
        <v>90</v>
      </c>
      <c r="AR653" s="191" t="s">
        <v>792</v>
      </c>
    </row>
    <row r="654" spans="2:44" ht="15" hidden="1" customHeight="1" thickTop="1" x14ac:dyDescent="0.35">
      <c r="B654" s="537"/>
      <c r="C654" s="280"/>
      <c r="D654" s="574"/>
      <c r="E654" s="577"/>
      <c r="F654" s="646"/>
      <c r="G654" s="663"/>
      <c r="H654" s="586"/>
      <c r="I654" s="589"/>
      <c r="J654" s="589"/>
      <c r="K654" s="592"/>
      <c r="L654" s="589"/>
      <c r="M654" s="595"/>
      <c r="N654" s="598"/>
      <c r="O654" s="601"/>
      <c r="P654" s="595"/>
      <c r="Q654" s="604"/>
      <c r="R654" s="601"/>
      <c r="S654" s="287"/>
      <c r="T654" s="604"/>
      <c r="U654" s="142" t="s">
        <v>180</v>
      </c>
      <c r="V654" s="441"/>
      <c r="W654" s="331"/>
      <c r="X654" s="320" t="str">
        <f>IF(W654=[20]Listas!$B$46,[20]Listas!$C$46,IF(W654=[20]Listas!$B$47,[20]Listas!$C$47,IF(W654=[20]Listas!$B$48,[20]Listas!$C$48,"")))</f>
        <v/>
      </c>
      <c r="Y654" s="321" t="str">
        <f>IF(OR(W654=[20]Listas!$F$53,W654=[20]Listas!$F$54),[20]Listas!$G$53,IF(W654=[20]Listas!$F$55,[20]Listas!$G$55,""))</f>
        <v/>
      </c>
      <c r="Z654" s="319"/>
      <c r="AA654" s="182" t="str">
        <f>+IF(Z654=[20]Listas!$E$46,[20]Listas!$F$46,IF(Z654=[20]Listas!$E$47,[20]Listas!$F$47,""))</f>
        <v/>
      </c>
      <c r="AB654" s="183" t="str">
        <f>IFERROR(X654+AA654,"")</f>
        <v/>
      </c>
      <c r="AC654" s="325"/>
      <c r="AD654" s="326"/>
      <c r="AE654" s="327"/>
      <c r="AF654" s="305" t="str">
        <f t="shared" si="99"/>
        <v>Baja</v>
      </c>
      <c r="AG654" s="145">
        <f>IF(Y654=[20]Listas!$G$53,AG653-(AG653*AB654),AG653)</f>
        <v>0.33599999999999997</v>
      </c>
      <c r="AH654" s="562"/>
      <c r="AI654" s="305" t="str">
        <f t="shared" si="100"/>
        <v>Catastrófico</v>
      </c>
      <c r="AJ654" s="145">
        <f>IF(Y654=[20]Listas!$G$55,AJ653-(AJ653*AB654),AJ653)</f>
        <v>1</v>
      </c>
      <c r="AK654" s="562"/>
      <c r="AL654" s="565"/>
      <c r="AM654" s="565"/>
      <c r="AN654" s="565"/>
      <c r="AO654" s="568"/>
      <c r="AP654" s="571"/>
      <c r="AQ654" s="343"/>
      <c r="AR654" s="191"/>
    </row>
    <row r="655" spans="2:44" ht="15" hidden="1" customHeight="1" thickTop="1" x14ac:dyDescent="0.35">
      <c r="B655" s="537"/>
      <c r="C655" s="280"/>
      <c r="D655" s="574"/>
      <c r="E655" s="577"/>
      <c r="F655" s="646"/>
      <c r="G655" s="663"/>
      <c r="H655" s="586"/>
      <c r="I655" s="589"/>
      <c r="J655" s="589"/>
      <c r="K655" s="592"/>
      <c r="L655" s="589"/>
      <c r="M655" s="595"/>
      <c r="N655" s="598"/>
      <c r="O655" s="601"/>
      <c r="P655" s="595"/>
      <c r="Q655" s="604"/>
      <c r="R655" s="601"/>
      <c r="S655" s="287"/>
      <c r="T655" s="604"/>
      <c r="U655" s="142" t="s">
        <v>190</v>
      </c>
      <c r="V655" s="415"/>
      <c r="W655" s="331"/>
      <c r="X655" s="320" t="str">
        <f>IF(W655=[20]Listas!$B$46,[20]Listas!$C$46,IF(W655=[20]Listas!$B$47,[20]Listas!$C$47,IF(W655=[20]Listas!$B$48,[20]Listas!$C$48,"")))</f>
        <v/>
      </c>
      <c r="Y655" s="321" t="str">
        <f>IF(OR(W655=[20]Listas!$F$53,W655=[20]Listas!$F$54),[20]Listas!$G$53,IF(W655=[20]Listas!$F$55,[20]Listas!$G$55,""))</f>
        <v/>
      </c>
      <c r="Z655" s="319"/>
      <c r="AA655" s="182" t="str">
        <f>+IF(Z655=[20]Listas!$E$46,[20]Listas!$F$46,IF(Z655=[20]Listas!$E$47,[20]Listas!$F$47,""))</f>
        <v/>
      </c>
      <c r="AB655" s="183" t="str">
        <f t="shared" ref="AB655:AB661" si="101">IFERROR(X655+AA655,"")</f>
        <v/>
      </c>
      <c r="AC655" s="328"/>
      <c r="AD655" s="329"/>
      <c r="AE655" s="330"/>
      <c r="AF655" s="305" t="str">
        <f t="shared" si="99"/>
        <v>Baja</v>
      </c>
      <c r="AG655" s="145">
        <f>IF(Y655=[20]Listas!$G$53,AG654-(AG654*AB655),AG654)</f>
        <v>0.33599999999999997</v>
      </c>
      <c r="AH655" s="562"/>
      <c r="AI655" s="305" t="str">
        <f t="shared" si="100"/>
        <v>Catastrófico</v>
      </c>
      <c r="AJ655" s="145">
        <f>IF(Y655=[20]Listas!$G$55,AJ654-(AJ654*AB655),AJ654)</f>
        <v>1</v>
      </c>
      <c r="AK655" s="562"/>
      <c r="AL655" s="565"/>
      <c r="AM655" s="565"/>
      <c r="AN655" s="565"/>
      <c r="AO655" s="568"/>
      <c r="AP655" s="571"/>
      <c r="AQ655" s="343"/>
      <c r="AR655" s="191"/>
    </row>
    <row r="656" spans="2:44" ht="15" hidden="1" customHeight="1" thickTop="1" x14ac:dyDescent="0.35">
      <c r="B656" s="537"/>
      <c r="C656" s="280"/>
      <c r="D656" s="574"/>
      <c r="E656" s="577"/>
      <c r="F656" s="646"/>
      <c r="G656" s="663"/>
      <c r="H656" s="586"/>
      <c r="I656" s="589"/>
      <c r="J656" s="589"/>
      <c r="K656" s="592"/>
      <c r="L656" s="589"/>
      <c r="M656" s="595"/>
      <c r="N656" s="598"/>
      <c r="O656" s="601"/>
      <c r="P656" s="595"/>
      <c r="Q656" s="604"/>
      <c r="R656" s="601"/>
      <c r="S656" s="287"/>
      <c r="T656" s="604"/>
      <c r="U656" s="142" t="s">
        <v>198</v>
      </c>
      <c r="V656" s="415"/>
      <c r="W656" s="331"/>
      <c r="X656" s="320" t="str">
        <f>IF(W656=[20]Listas!$B$46,[20]Listas!$C$46,IF(W656=[20]Listas!$B$47,[20]Listas!$C$47,IF(W656=[20]Listas!$B$48,[20]Listas!$C$48,"")))</f>
        <v/>
      </c>
      <c r="Y656" s="321" t="str">
        <f>IF(OR(W656=[20]Listas!$F$53,W656=[20]Listas!$F$54),[20]Listas!$G$53,IF(W656=[20]Listas!$F$55,[20]Listas!$G$55,""))</f>
        <v/>
      </c>
      <c r="Z656" s="319"/>
      <c r="AA656" s="182" t="str">
        <f>+IF(Z656=[20]Listas!$E$46,[20]Listas!$F$46,IF(Z656=[20]Listas!$E$47,[20]Listas!$F$47,""))</f>
        <v/>
      </c>
      <c r="AB656" s="183" t="str">
        <f t="shared" si="101"/>
        <v/>
      </c>
      <c r="AC656" s="319"/>
      <c r="AD656" s="322"/>
      <c r="AE656" s="323"/>
      <c r="AF656" s="305" t="str">
        <f t="shared" si="99"/>
        <v>Baja</v>
      </c>
      <c r="AG656" s="145">
        <f>IF(Y656=[20]Listas!$G$53,AG655-(AG655*AB656),AG655)</f>
        <v>0.33599999999999997</v>
      </c>
      <c r="AH656" s="562"/>
      <c r="AI656" s="305" t="str">
        <f t="shared" si="100"/>
        <v>Catastrófico</v>
      </c>
      <c r="AJ656" s="145">
        <f>IF(Y656=[20]Listas!$G$55,AJ655-(AJ655*AB656),AJ655)</f>
        <v>1</v>
      </c>
      <c r="AK656" s="562"/>
      <c r="AL656" s="565"/>
      <c r="AM656" s="565"/>
      <c r="AN656" s="565"/>
      <c r="AO656" s="568"/>
      <c r="AP656" s="571"/>
      <c r="AQ656" s="344"/>
      <c r="AR656" s="191"/>
    </row>
    <row r="657" spans="2:44" ht="15.75" hidden="1" customHeight="1" thickTop="1" x14ac:dyDescent="0.35">
      <c r="B657" s="537"/>
      <c r="C657" s="280"/>
      <c r="D657" s="574"/>
      <c r="E657" s="577"/>
      <c r="F657" s="646"/>
      <c r="G657" s="663"/>
      <c r="H657" s="586"/>
      <c r="I657" s="589"/>
      <c r="J657" s="589"/>
      <c r="K657" s="592"/>
      <c r="L657" s="589"/>
      <c r="M657" s="595"/>
      <c r="N657" s="598"/>
      <c r="O657" s="601"/>
      <c r="P657" s="595"/>
      <c r="Q657" s="604"/>
      <c r="R657" s="601"/>
      <c r="S657" s="288"/>
      <c r="T657" s="604"/>
      <c r="U657" s="142" t="s">
        <v>208</v>
      </c>
      <c r="V657" s="418"/>
      <c r="W657" s="331"/>
      <c r="X657" s="320" t="str">
        <f>IF(W657=[20]Listas!$B$46,[20]Listas!$C$46,IF(W657=[20]Listas!$B$47,[20]Listas!$C$47,IF(W657=[20]Listas!$B$48,[20]Listas!$C$48,"")))</f>
        <v/>
      </c>
      <c r="Y657" s="321" t="str">
        <f>IF(OR(W657=[20]Listas!$F$53,W657=[20]Listas!$F$54),[20]Listas!$G$53,IF(W657=[20]Listas!$F$55,[20]Listas!$G$55,""))</f>
        <v/>
      </c>
      <c r="Z657" s="319"/>
      <c r="AA657" s="182" t="str">
        <f>+IF(Z657=[20]Listas!$E$46,[20]Listas!$F$46,IF(Z657=[20]Listas!$E$47,[20]Listas!$F$47,""))</f>
        <v/>
      </c>
      <c r="AB657" s="183" t="str">
        <f t="shared" si="101"/>
        <v/>
      </c>
      <c r="AC657" s="319"/>
      <c r="AD657" s="322"/>
      <c r="AE657" s="323"/>
      <c r="AF657" s="305" t="str">
        <f t="shared" si="99"/>
        <v>Baja</v>
      </c>
      <c r="AG657" s="145">
        <f>IF(Y657=[20]Listas!$G$53,AG656-(AG656*AB657),AG656)</f>
        <v>0.33599999999999997</v>
      </c>
      <c r="AH657" s="562"/>
      <c r="AI657" s="305" t="str">
        <f t="shared" si="100"/>
        <v>Catastrófico</v>
      </c>
      <c r="AJ657" s="145">
        <f>IF(Y657=[20]Listas!$G$55,AJ656-(AJ656*AB657),AJ656)</f>
        <v>1</v>
      </c>
      <c r="AK657" s="562"/>
      <c r="AL657" s="565"/>
      <c r="AM657" s="565"/>
      <c r="AN657" s="565"/>
      <c r="AO657" s="568"/>
      <c r="AP657" s="571"/>
      <c r="AQ657" s="343"/>
      <c r="AR657" s="191"/>
    </row>
    <row r="658" spans="2:44" ht="15" hidden="1" customHeight="1" thickTop="1" x14ac:dyDescent="0.35">
      <c r="B658" s="537"/>
      <c r="C658" s="280"/>
      <c r="D658" s="574"/>
      <c r="E658" s="577"/>
      <c r="F658" s="646"/>
      <c r="G658" s="663"/>
      <c r="H658" s="586"/>
      <c r="I658" s="589"/>
      <c r="J658" s="589"/>
      <c r="K658" s="592"/>
      <c r="L658" s="589"/>
      <c r="M658" s="595"/>
      <c r="N658" s="598"/>
      <c r="O658" s="601"/>
      <c r="P658" s="595"/>
      <c r="Q658" s="604"/>
      <c r="R658" s="601"/>
      <c r="S658" s="289"/>
      <c r="T658" s="604"/>
      <c r="U658" s="142" t="s">
        <v>215</v>
      </c>
      <c r="V658" s="415"/>
      <c r="W658" s="319"/>
      <c r="X658" s="320" t="str">
        <f>IF(W658=[20]Listas!$B$46,[20]Listas!$C$46,IF(W658=[20]Listas!$B$47,[20]Listas!$C$47,IF(W658=[20]Listas!$B$48,[20]Listas!$C$48,"")))</f>
        <v/>
      </c>
      <c r="Y658" s="321" t="str">
        <f>IF(OR(W658=[20]Listas!$F$53,W658=[20]Listas!$F$54),[20]Listas!$G$53,IF(W658=[20]Listas!$F$55,[20]Listas!$G$55,""))</f>
        <v/>
      </c>
      <c r="Z658" s="319"/>
      <c r="AA658" s="182" t="str">
        <f>+IF(Z658=[20]Listas!$E$46,[20]Listas!$F$46,IF(Z658=[20]Listas!$E$47,[20]Listas!$F$47,""))</f>
        <v/>
      </c>
      <c r="AB658" s="183" t="str">
        <f t="shared" si="101"/>
        <v/>
      </c>
      <c r="AC658" s="319"/>
      <c r="AD658" s="322"/>
      <c r="AE658" s="323"/>
      <c r="AF658" s="305" t="str">
        <f t="shared" si="99"/>
        <v>Baja</v>
      </c>
      <c r="AG658" s="145">
        <f>IF(Y658=[20]Listas!$G$53,AG657-(AG657*AB658),AG657)</f>
        <v>0.33599999999999997</v>
      </c>
      <c r="AH658" s="562"/>
      <c r="AI658" s="305" t="str">
        <f t="shared" si="100"/>
        <v>Catastrófico</v>
      </c>
      <c r="AJ658" s="145">
        <f>IF(Y658=[20]Listas!$G$55,AJ657-(AJ657*AB658),AJ657)</f>
        <v>1</v>
      </c>
      <c r="AK658" s="562"/>
      <c r="AL658" s="565"/>
      <c r="AM658" s="565"/>
      <c r="AN658" s="565"/>
      <c r="AO658" s="568"/>
      <c r="AP658" s="571"/>
      <c r="AQ658" s="343"/>
      <c r="AR658" s="191"/>
    </row>
    <row r="659" spans="2:44" ht="15" hidden="1" customHeight="1" thickTop="1" x14ac:dyDescent="0.35">
      <c r="B659" s="537"/>
      <c r="C659" s="280"/>
      <c r="D659" s="574"/>
      <c r="E659" s="577"/>
      <c r="F659" s="646"/>
      <c r="G659" s="663"/>
      <c r="H659" s="586"/>
      <c r="I659" s="589"/>
      <c r="J659" s="589"/>
      <c r="K659" s="592"/>
      <c r="L659" s="589"/>
      <c r="M659" s="595"/>
      <c r="N659" s="598"/>
      <c r="O659" s="601"/>
      <c r="P659" s="595"/>
      <c r="Q659" s="604"/>
      <c r="R659" s="601"/>
      <c r="S659" s="289"/>
      <c r="T659" s="604"/>
      <c r="U659" s="142" t="s">
        <v>220</v>
      </c>
      <c r="V659" s="418"/>
      <c r="W659" s="331"/>
      <c r="X659" s="320" t="str">
        <f>IF(W659=[20]Listas!$B$46,[20]Listas!$C$46,IF(W659=[20]Listas!$B$47,[20]Listas!$C$47,IF(W659=[20]Listas!$B$48,[20]Listas!$C$48,"")))</f>
        <v/>
      </c>
      <c r="Y659" s="321" t="str">
        <f>IF(OR(W659=[20]Listas!$F$53,W659=[20]Listas!$F$54),[20]Listas!$G$53,IF(W659=[20]Listas!$F$55,[20]Listas!$G$55,""))</f>
        <v/>
      </c>
      <c r="Z659" s="319"/>
      <c r="AA659" s="182" t="str">
        <f>+IF(Z659=[20]Listas!$E$46,[20]Listas!$F$46,IF(Z659=[20]Listas!$E$47,[20]Listas!$F$47,""))</f>
        <v/>
      </c>
      <c r="AB659" s="183" t="str">
        <f t="shared" si="101"/>
        <v/>
      </c>
      <c r="AC659" s="319"/>
      <c r="AD659" s="322"/>
      <c r="AE659" s="323"/>
      <c r="AF659" s="305" t="str">
        <f t="shared" si="99"/>
        <v>Baja</v>
      </c>
      <c r="AG659" s="145">
        <f>IF(Y659=[20]Listas!$G$53,AG658-(AG658*AB659),AG658)</f>
        <v>0.33599999999999997</v>
      </c>
      <c r="AH659" s="562"/>
      <c r="AI659" s="305" t="str">
        <f t="shared" si="100"/>
        <v>Catastrófico</v>
      </c>
      <c r="AJ659" s="145">
        <f>IF(Y659=[20]Listas!$G$55,AJ658-(AJ658*AB659),AJ658)</f>
        <v>1</v>
      </c>
      <c r="AK659" s="562"/>
      <c r="AL659" s="565"/>
      <c r="AM659" s="565"/>
      <c r="AN659" s="565"/>
      <c r="AO659" s="568"/>
      <c r="AP659" s="571"/>
      <c r="AQ659" s="344"/>
      <c r="AR659" s="191"/>
    </row>
    <row r="660" spans="2:44" ht="15" hidden="1" customHeight="1" thickTop="1" x14ac:dyDescent="0.35">
      <c r="B660" s="537"/>
      <c r="C660" s="280"/>
      <c r="D660" s="574"/>
      <c r="E660" s="577"/>
      <c r="F660" s="646"/>
      <c r="G660" s="663"/>
      <c r="H660" s="586"/>
      <c r="I660" s="589"/>
      <c r="J660" s="589"/>
      <c r="K660" s="592"/>
      <c r="L660" s="589"/>
      <c r="M660" s="595"/>
      <c r="N660" s="598"/>
      <c r="O660" s="601"/>
      <c r="P660" s="595"/>
      <c r="Q660" s="604"/>
      <c r="R660" s="601"/>
      <c r="S660" s="289"/>
      <c r="T660" s="604"/>
      <c r="U660" s="142" t="s">
        <v>223</v>
      </c>
      <c r="V660" s="418"/>
      <c r="W660" s="331"/>
      <c r="X660" s="320" t="str">
        <f>IF(W660=[20]Listas!$B$46,[20]Listas!$C$46,IF(W660=[20]Listas!$B$47,[20]Listas!$C$47,IF(W660=[20]Listas!$B$48,[20]Listas!$C$48,"")))</f>
        <v/>
      </c>
      <c r="Y660" s="321" t="str">
        <f>IF(OR(W660=[20]Listas!$F$53,W660=[20]Listas!$F$54),[20]Listas!$G$53,IF(W660=[20]Listas!$F$55,[20]Listas!$G$55,""))</f>
        <v/>
      </c>
      <c r="Z660" s="319"/>
      <c r="AA660" s="182" t="str">
        <f>+IF(Z660=[20]Listas!$E$46,[20]Listas!$F$46,IF(Z660=[20]Listas!$E$47,[20]Listas!$F$47,""))</f>
        <v/>
      </c>
      <c r="AB660" s="183" t="str">
        <f t="shared" si="101"/>
        <v/>
      </c>
      <c r="AC660" s="319"/>
      <c r="AD660" s="322"/>
      <c r="AE660" s="323"/>
      <c r="AF660" s="305" t="str">
        <f t="shared" si="99"/>
        <v>Baja</v>
      </c>
      <c r="AG660" s="145">
        <f>IF(Y660=[20]Listas!$G$53,AG659-(AG659*AB660),AG659)</f>
        <v>0.33599999999999997</v>
      </c>
      <c r="AH660" s="562"/>
      <c r="AI660" s="305" t="str">
        <f t="shared" si="100"/>
        <v>Catastrófico</v>
      </c>
      <c r="AJ660" s="145">
        <f>IF(Y660=[20]Listas!$G$55,AJ659-(AJ659*AB660),AJ659)</f>
        <v>1</v>
      </c>
      <c r="AK660" s="562"/>
      <c r="AL660" s="565"/>
      <c r="AM660" s="565"/>
      <c r="AN660" s="565"/>
      <c r="AO660" s="568"/>
      <c r="AP660" s="571"/>
      <c r="AQ660" s="343"/>
      <c r="AR660" s="191"/>
    </row>
    <row r="661" spans="2:44" ht="15.75" hidden="1" customHeight="1" thickTop="1" x14ac:dyDescent="0.35">
      <c r="B661" s="537"/>
      <c r="C661" s="280"/>
      <c r="D661" s="575"/>
      <c r="E661" s="578"/>
      <c r="F661" s="647"/>
      <c r="G661" s="664"/>
      <c r="H661" s="587"/>
      <c r="I661" s="590"/>
      <c r="J661" s="590"/>
      <c r="K661" s="593"/>
      <c r="L661" s="590"/>
      <c r="M661" s="596"/>
      <c r="N661" s="599"/>
      <c r="O661" s="602"/>
      <c r="P661" s="596"/>
      <c r="Q661" s="605"/>
      <c r="R661" s="602"/>
      <c r="S661" s="293"/>
      <c r="T661" s="605"/>
      <c r="U661" s="202" t="s">
        <v>224</v>
      </c>
      <c r="V661" s="416"/>
      <c r="W661" s="335"/>
      <c r="X661" s="336" t="str">
        <f>IF(W661=[20]Listas!$B$46,[20]Listas!$C$46,IF(W661=[20]Listas!$B$47,[20]Listas!$C$47,IF(W661=[20]Listas!$B$48,[20]Listas!$C$48,"")))</f>
        <v/>
      </c>
      <c r="Y661" s="337" t="str">
        <f>IF(OR(W661=[20]Listas!$F$53,W661=[20]Listas!$F$54),[20]Listas!$G$53,IF(W661=[20]Listas!$F$55,[20]Listas!$G$55,""))</f>
        <v/>
      </c>
      <c r="Z661" s="335"/>
      <c r="AA661" s="186" t="str">
        <f>+IF(Z661=[20]Listas!$E$46,[20]Listas!$F$46,IF(Z661=[20]Listas!$E$47,[20]Listas!$F$47,""))</f>
        <v/>
      </c>
      <c r="AB661" s="187" t="str">
        <f t="shared" si="101"/>
        <v/>
      </c>
      <c r="AC661" s="338"/>
      <c r="AD661" s="339"/>
      <c r="AE661" s="340"/>
      <c r="AF661" s="311" t="str">
        <f t="shared" si="99"/>
        <v>Baja</v>
      </c>
      <c r="AG661" s="179">
        <f>IF(Y661=[20]Listas!$G$53,AG660-(AG660*AB661),AG660)</f>
        <v>0.33599999999999997</v>
      </c>
      <c r="AH661" s="563"/>
      <c r="AI661" s="311" t="str">
        <f t="shared" si="100"/>
        <v>Catastrófico</v>
      </c>
      <c r="AJ661" s="179">
        <f>IF(Y661=[20]Listas!$G$55,AJ660-(AJ660*AB661),AJ660)</f>
        <v>1</v>
      </c>
      <c r="AK661" s="563"/>
      <c r="AL661" s="566"/>
      <c r="AM661" s="566"/>
      <c r="AN661" s="566"/>
      <c r="AO661" s="569"/>
      <c r="AP661" s="572"/>
      <c r="AQ661" s="359"/>
      <c r="AR661" s="192"/>
    </row>
    <row r="662" spans="2:44" ht="274.5" customHeight="1" thickTop="1" thickBot="1" x14ac:dyDescent="0.4">
      <c r="B662" s="537"/>
      <c r="C662" s="559" t="s">
        <v>109</v>
      </c>
      <c r="D662" s="573" t="s">
        <v>793</v>
      </c>
      <c r="E662" s="576" t="s">
        <v>4</v>
      </c>
      <c r="F662" s="645" t="s">
        <v>794</v>
      </c>
      <c r="G662" s="683" t="s">
        <v>795</v>
      </c>
      <c r="H662" s="665" t="s">
        <v>796</v>
      </c>
      <c r="I662" s="588" t="s">
        <v>20</v>
      </c>
      <c r="J662" s="588" t="s">
        <v>22</v>
      </c>
      <c r="K662" s="591"/>
      <c r="L662" s="588" t="s">
        <v>168</v>
      </c>
      <c r="M662" s="594" t="s">
        <v>169</v>
      </c>
      <c r="N662" s="597" t="str">
        <f>+IF(M662="","",IF(M662=$BO$15,$BN$15,IF(M662=$BO$16,$BN$16,IF(M662=$BO$17,$BN$17,IF(M662=$BO$18,$BN$18,IF(M662=$BO$19,$BN$19))))))</f>
        <v>Alta</v>
      </c>
      <c r="O662" s="600">
        <f>+IF(M662="","",IF(M662=$BO$15,$BR$15,IF(M662=$BO$16,$BR$16,IF(M662=$BO$17,$BR$17,IF(M662=$BO$18,$BR$18,IF(M662=$BO$19,$BR$19))))))</f>
        <v>0.8</v>
      </c>
      <c r="P662" s="594" t="s">
        <v>204</v>
      </c>
      <c r="Q662" s="603" t="str">
        <f>+IF(P662="","",IF(P662='[21]Mapa de Calor inherente'!$AF$6,'[21]Mapa de Calor inherente'!$AD$6,IF(P662='[21]Mapa de Calor inherente'!$AF$7,'[21]Mapa de Calor inherente'!$AD$7,IF(P662='[21]Mapa de Calor inherente'!$AF$8,'[21]Mapa de Calor inherente'!$AD$8,IF(P662='[21]Mapa de Calor inherente'!$AF$9,'[21]Mapa de Calor inherente'!$AD$9,IF(P662='[21]Mapa de Calor inherente'!$AF$10,'[21]Mapa de Calor inherente'!$AD$10,IF(P662='[21]Mapa de Calor inherente'!$AG$6,'[21]Mapa de Calor inherente'!$AD$6,IF(P662='[21]Mapa de Calor inherente'!$AG$7,'[21]Mapa de Calor inherente'!$AD$7,IF(P662='[21]Mapa de Calor inherente'!$AG$8,'[21]Mapa de Calor inherente'!$AD$8,IF(P662='[21]Mapa de Calor inherente'!$AG$9,'[21]Mapa de Calor inherente'!$AD$9,IF(P662='[21]Mapa de Calor inherente'!$AG$10,'[21]Mapa de Calor inherente'!$AD$10,IF(P662='[21]Mapa de Calor inherente'!$AD$8,'[21]Mapa de Calor inherente'!$AD$8,IF(P662='[21]Mapa de Calor inherente'!$AD$9,'[21]Mapa de Calor inherente'!$AD$9,IF(P662='[21]Mapa de Calor inherente'!$AD$10,'[21]Mapa de Calor inherente'!$AD$10))))))))))))))</f>
        <v>Menor</v>
      </c>
      <c r="R662" s="600">
        <f>+IF(P662="","",IF(P662='[21]Mapa de Calor inherente'!$AF$6,'[21]Mapa de Calor inherente'!$AE$6,IF(P662='[21]Mapa de Calor inherente'!$AF$7,'[21]Mapa de Calor inherente'!$AE$7,IF(P662='[21]Mapa de Calor inherente'!$AF$8,'[21]Mapa de Calor inherente'!$AE$8,IF(P662='[21]Mapa de Calor inherente'!$AF$9,'[21]Mapa de Calor inherente'!$AE$9,IF(P662='[21]Mapa de Calor inherente'!$AF$10,'[21]Mapa de Calor inherente'!$AE$10,IF(P662='[21]Mapa de Calor inherente'!$AG$6,'[21]Mapa de Calor inherente'!$AE$6,IF(P662='[21]Mapa de Calor inherente'!$AG$7,'[21]Mapa de Calor inherente'!$AE$7,IF(P662='[21]Mapa de Calor inherente'!$AG$8,'[21]Mapa de Calor inherente'!$AE$8,IF(P662='[21]Mapa de Calor inherente'!$AG$9,'[21]Mapa de Calor inherente'!$AE$9,IF(P662='[21]Mapa de Calor inherente'!$AG$10,'[21]Mapa de Calor inherente'!$AE$10,IF(P662='[21]Mapa de Calor inherente'!$AD$8,'[21]Mapa de Calor inherente'!$AE$8,IF(P662='[21]Mapa de Calor inherente'!$AD$9,'[21]Mapa de Calor inherente'!$AE$9,IF(P662='[21]Mapa de Calor inherente'!$AD$10,'[21]Mapa de Calor inherente'!$AE$10))))))))))))))</f>
        <v>0.4</v>
      </c>
      <c r="S662" s="292"/>
      <c r="T662" s="606" t="str">
        <f>+IF(N662=$BB$17,IF(Q662=$BC$16,$BC$17,IF(Q662=$BD$16,$BD$17,IF(Q662=$BE$16,$BE$17,IF(Q662=$BF$16,$BF$17,IF(Q662=$BG$16,$BG$17))))),IF(N662=$BB$18,IF(Q662=$BC$16,$BC$18,IF(Q662=$BD$16,$BD$18,IF(Q662=$BE$16,$BE$18,IF(Q662=$BF$16,$BF$18,IF(Q662=$BG$16,$BG$18))))),IF(N662=$BB$19,IF(Q662=$BC$16,$BC$19,IF(Q662=$BD$16,$BD$19,IF(Q662=$BE$16,$BE$19,IF(Q662=$BF$16,$BF$19,IF(Q662=$BG$16,$BG$19))))),IF(N662=$BB$20,IF(Q662=$BC$16,$BC$20,IF(Q662=$BD$16,$BD$20,IF(Q662=$BE$16,$BE$20,IF(Q662=$BF$16,$BF$20,IF(Q662=$BG$16,$BG$20))))),IF(N662=$BB$21,IF(Q662=$BC$16,$BC$21,IF(Q662=$BD$16,$BD$21,IF(Q662=$BE$16,$BE$21,IF(Q662=$BF$16,$BF$21,IF(Q662=$BG$16,$BG$21))))),"")))))</f>
        <v>Moderado</v>
      </c>
      <c r="U662" s="139" t="s">
        <v>171</v>
      </c>
      <c r="V662" s="499" t="s">
        <v>797</v>
      </c>
      <c r="W662" s="313" t="s">
        <v>40</v>
      </c>
      <c r="X662" s="314">
        <f>IF(W662=[21]Listas!$B$46,[21]Listas!$C$46,IF(W662=[21]Listas!$B$47,[21]Listas!$C$47,IF(W662=[21]Listas!$B$48,[21]Listas!$C$48,"")))</f>
        <v>0.25</v>
      </c>
      <c r="Y662" s="315" t="str">
        <f>IF(OR(W662=[21]Listas!$F$53,W662=[21]Listas!$F$54),[21]Listas!$G$53,IF(W662=[21]Listas!$F$55,[21]Listas!$G$55,""))</f>
        <v>Probabilidad</v>
      </c>
      <c r="Z662" s="313" t="s">
        <v>43</v>
      </c>
      <c r="AA662" s="314">
        <f>+IF(Z662=[21]Listas!$E$46,[21]Listas!$F$46,IF(Z662=[21]Listas!$E$47,[21]Listas!$F$47,""))</f>
        <v>0.15</v>
      </c>
      <c r="AB662" s="181">
        <f>IFERROR(X662+AA662,"")</f>
        <v>0.4</v>
      </c>
      <c r="AC662" s="313" t="s">
        <v>57</v>
      </c>
      <c r="AD662" s="316" t="s">
        <v>58</v>
      </c>
      <c r="AE662" s="317" t="s">
        <v>59</v>
      </c>
      <c r="AF662" s="299" t="str">
        <f t="shared" si="99"/>
        <v>Media</v>
      </c>
      <c r="AG662" s="141">
        <f>IF(Y662=[21]Listas!$G$53,O662-(O662*AB662),O662)</f>
        <v>0.48</v>
      </c>
      <c r="AH662" s="561">
        <f>+IF(AG671="","",AG671)</f>
        <v>0.17279999999999998</v>
      </c>
      <c r="AI662" s="299" t="str">
        <f>IF(AJ662="","",IF(AJ662&lt;=20%,"Leve",IF(AJ662&lt;=40%,"Menor",IF(AJ662&lt;=60%,"Moderado",IF(AJ662&lt;=80%,"Mayor","Catastrófico")))))</f>
        <v>Menor</v>
      </c>
      <c r="AJ662" s="141">
        <f>IF(Y662=[21]Listas!$G$55,R662-(R662*AB662),R662)</f>
        <v>0.4</v>
      </c>
      <c r="AK662" s="561">
        <f>+IF(AJ671="","",AJ671)</f>
        <v>0.4</v>
      </c>
      <c r="AL662" s="564" t="str">
        <f>+IF(AH662=0,"",IF(AH662&lt;=$BA$21,$BB$21,IF(AH662&lt;=$BA$20,$BB$20,IF(AH662&lt;=$BA$19,$BB$19,IF(AH662&lt;=$BA$18,$BB$18,IF(AH662&lt;=$BA$17,$BB$17,""))))))</f>
        <v>Muy Baja</v>
      </c>
      <c r="AM662" s="564" t="str">
        <f>+IF(AK662=0,"",IF(AK662&lt;=$BC$15,$BC$16,IF(AK662&lt;=$BD$15,$BD$16,IF(AK662&lt;=$BE$15,$BE$16,IF(AK662&lt;=$BF$15,$BF$16,IF(AK662&lt;=$BG$15,$BG$16,""))))))</f>
        <v>Menor</v>
      </c>
      <c r="AN662" s="564" t="str">
        <f>IF(AL662=$BB$17,IF(AM662=$BC$16,$BC$17,IF(AM662=$BD$16,$BD$17,IF(AM662=$BE$16,$BE$17,IF(AM662=$BF$16,$BF$17,IF(AM662=$BG$16,$BG$17))))),IF(AL662=$BB$18,IF(AM662=$BC$16,$BC$18,IF(AM662=$BD$16,$BD$18,IF(AM662=$BE$16,$BE$18,IF(AM662=$BF$16,$BF$18,IF(AM662=$BG$16,$BG$18))))),IF(AL662=$BB$19,IF(AM662=$BC$16,$BC$19,IF(AM662=$BD$16,$BD$19,IF(AM662=$BE$16,$BE$19,IF(AM662=$BF$16,$BF$19,IF(AM662=$BG$16,$BG$19))))),IF(AL662=$BB$20,IF(AM662=$BC$16,$BC$20,IF(AM662=$BD$16,$BD$20,IF(AM662=$BE$16,$BE$20,IF(AM662=$BF$16,$BF$20,IF(AM662=$BG$16,$BG$20))))),IF(AL662=$BB$21,IF(AM662=$BC$16,$BC$21,IF(AM662=$BD$16,$BD$21,IF(AM662=$BE$16,$BE$21,IF(AM662=$BF$16,$BF$21,IF(AM662=$BG$16,$BG$21))))),"")))))</f>
        <v>Bajo</v>
      </c>
      <c r="AO662" s="567" t="str">
        <f>IF(AP662="","",IF(AP662=[21]Listas!$F$61,[21]Listas!$G$61,IF(AP662=[21]Listas!$F$63,[21]Listas!$G$63,IF(AP662=[21]Listas!$F$64,[21]Listas!$G$64))))</f>
        <v>No requiere Plan de Acción</v>
      </c>
      <c r="AP662" s="570" t="str">
        <f>IF(AN662="","",IF(OR(AN662=[21]Listas!$E$61,AN662=[21]Listas!$E$62),[21]Listas!$F$61,IF(AN662=[21]Listas!$E$63,[21]Listas!$F$63,IF(AN662=[21]Listas!$E$64,[21]Listas!$F$64))))</f>
        <v>Aceptar  el riesgo</v>
      </c>
      <c r="AQ662" s="318" t="s">
        <v>80</v>
      </c>
      <c r="AR662" s="260" t="s">
        <v>798</v>
      </c>
    </row>
    <row r="663" spans="2:44" ht="249.65" customHeight="1" thickTop="1" thickBot="1" x14ac:dyDescent="0.4">
      <c r="B663" s="537"/>
      <c r="C663" s="559"/>
      <c r="D663" s="574"/>
      <c r="E663" s="577"/>
      <c r="F663" s="646"/>
      <c r="G663" s="663"/>
      <c r="H663" s="666"/>
      <c r="I663" s="589"/>
      <c r="J663" s="589"/>
      <c r="K663" s="592"/>
      <c r="L663" s="589"/>
      <c r="M663" s="595"/>
      <c r="N663" s="598"/>
      <c r="O663" s="601"/>
      <c r="P663" s="595"/>
      <c r="Q663" s="604"/>
      <c r="R663" s="601"/>
      <c r="S663" s="286"/>
      <c r="T663" s="607"/>
      <c r="U663" s="142" t="s">
        <v>174</v>
      </c>
      <c r="V663" s="500" t="s">
        <v>799</v>
      </c>
      <c r="W663" s="319" t="s">
        <v>40</v>
      </c>
      <c r="X663" s="320">
        <f>IF(W663=[21]Listas!$B$46,[21]Listas!$C$46,IF(W663=[21]Listas!$B$47,[21]Listas!$C$47,IF(W663=[21]Listas!$B$48,[21]Listas!$C$48,"")))</f>
        <v>0.25</v>
      </c>
      <c r="Y663" s="321" t="str">
        <f>IF(OR(W663=[21]Listas!$F$53,W663=[21]Listas!$F$54),[21]Listas!$G$53,IF(W663=[21]Listas!$F$55,[21]Listas!$G$55,""))</f>
        <v>Probabilidad</v>
      </c>
      <c r="Z663" s="319" t="s">
        <v>43</v>
      </c>
      <c r="AA663" s="182">
        <f>+IF(Z663=[21]Listas!$E$46,[21]Listas!$F$46,IF(Z663=[21]Listas!$E$47,[21]Listas!$F$47,""))</f>
        <v>0.15</v>
      </c>
      <c r="AB663" s="183">
        <f>IFERROR(X663+AA663,"")</f>
        <v>0.4</v>
      </c>
      <c r="AC663" s="319" t="s">
        <v>57</v>
      </c>
      <c r="AD663" s="322" t="s">
        <v>58</v>
      </c>
      <c r="AE663" s="323" t="s">
        <v>59</v>
      </c>
      <c r="AF663" s="305" t="str">
        <f t="shared" si="99"/>
        <v>Baja</v>
      </c>
      <c r="AG663" s="145">
        <f>IF(Y663=[21]Listas!$G$53,AG662-(AG662*AB663),AG662)</f>
        <v>0.28799999999999998</v>
      </c>
      <c r="AH663" s="562"/>
      <c r="AI663" s="305" t="str">
        <f t="shared" ref="AI663:AI721" si="102">IF(AJ663="","",IF(AJ663&lt;=20%,"Leve",IF(AJ663&lt;=40%,"Menor",IF(AJ663&lt;=60%,"Moderado",IF(AJ663&lt;=80%,"Mayor","Catastrófico")))))</f>
        <v>Menor</v>
      </c>
      <c r="AJ663" s="145">
        <f>IF(Y663=[21]Listas!$G$55,AJ662-(AJ662*AB663),AJ662)</f>
        <v>0.4</v>
      </c>
      <c r="AK663" s="562"/>
      <c r="AL663" s="565"/>
      <c r="AM663" s="565"/>
      <c r="AN663" s="565"/>
      <c r="AO663" s="568"/>
      <c r="AP663" s="571"/>
      <c r="AQ663" s="324" t="s">
        <v>80</v>
      </c>
      <c r="AR663" s="261" t="s">
        <v>800</v>
      </c>
    </row>
    <row r="664" spans="2:44" ht="195" customHeight="1" thickTop="1" thickBot="1" x14ac:dyDescent="0.4">
      <c r="B664" s="537"/>
      <c r="C664" s="559"/>
      <c r="D664" s="574"/>
      <c r="E664" s="577"/>
      <c r="F664" s="646"/>
      <c r="G664" s="663"/>
      <c r="H664" s="666"/>
      <c r="I664" s="589"/>
      <c r="J664" s="589"/>
      <c r="K664" s="592"/>
      <c r="L664" s="589"/>
      <c r="M664" s="595"/>
      <c r="N664" s="598"/>
      <c r="O664" s="601"/>
      <c r="P664" s="595"/>
      <c r="Q664" s="604"/>
      <c r="R664" s="601"/>
      <c r="S664" s="287"/>
      <c r="T664" s="607"/>
      <c r="U664" s="142" t="s">
        <v>180</v>
      </c>
      <c r="V664" s="431" t="s">
        <v>801</v>
      </c>
      <c r="W664" s="319" t="s">
        <v>40</v>
      </c>
      <c r="X664" s="320">
        <f>IF(W664=[21]Listas!$B$46,[21]Listas!$C$46,IF(W664=[21]Listas!$B$47,[21]Listas!$C$47,IF(W664=[21]Listas!$B$48,[21]Listas!$C$48,"")))</f>
        <v>0.25</v>
      </c>
      <c r="Y664" s="321" t="str">
        <f>IF(OR(W664=[21]Listas!$F$53,W664=[21]Listas!$F$54),[21]Listas!$G$53,IF(W664=[21]Listas!$F$55,[21]Listas!$G$55,""))</f>
        <v>Probabilidad</v>
      </c>
      <c r="Z664" s="319" t="s">
        <v>43</v>
      </c>
      <c r="AA664" s="182">
        <f>+IF(Z664=[21]Listas!$E$46,[21]Listas!$F$46,IF(Z664=[21]Listas!$E$47,[21]Listas!$F$47,""))</f>
        <v>0.15</v>
      </c>
      <c r="AB664" s="183">
        <f>IFERROR(X664+AA664,"")</f>
        <v>0.4</v>
      </c>
      <c r="AC664" s="319" t="s">
        <v>57</v>
      </c>
      <c r="AD664" s="322" t="s">
        <v>58</v>
      </c>
      <c r="AE664" s="323" t="s">
        <v>59</v>
      </c>
      <c r="AF664" s="305" t="str">
        <f t="shared" si="99"/>
        <v>Muy baja</v>
      </c>
      <c r="AG664" s="145">
        <f>IF(Y664=[21]Listas!$G$53,AG663-(AG663*AB664),AG663)</f>
        <v>0.17279999999999998</v>
      </c>
      <c r="AH664" s="562"/>
      <c r="AI664" s="305" t="str">
        <f t="shared" si="102"/>
        <v>Menor</v>
      </c>
      <c r="AJ664" s="145">
        <f>IF(Y664=[21]Listas!$G$55,AJ663-(AJ663*AB664),AJ663)</f>
        <v>0.4</v>
      </c>
      <c r="AK664" s="562"/>
      <c r="AL664" s="565"/>
      <c r="AM664" s="565"/>
      <c r="AN664" s="565"/>
      <c r="AO664" s="568"/>
      <c r="AP664" s="571"/>
      <c r="AQ664" s="324" t="s">
        <v>90</v>
      </c>
      <c r="AR664" s="262" t="s">
        <v>802</v>
      </c>
    </row>
    <row r="665" spans="2:44" ht="15" hidden="1" customHeight="1" thickBot="1" x14ac:dyDescent="0.4">
      <c r="B665" s="537"/>
      <c r="C665" s="559"/>
      <c r="D665" s="574"/>
      <c r="E665" s="577"/>
      <c r="F665" s="646"/>
      <c r="G665" s="663"/>
      <c r="H665" s="666"/>
      <c r="I665" s="589"/>
      <c r="J665" s="589"/>
      <c r="K665" s="592"/>
      <c r="L665" s="589"/>
      <c r="M665" s="595"/>
      <c r="N665" s="598"/>
      <c r="O665" s="601"/>
      <c r="P665" s="595"/>
      <c r="Q665" s="604"/>
      <c r="R665" s="601"/>
      <c r="S665" s="287"/>
      <c r="T665" s="607"/>
      <c r="U665" s="142" t="s">
        <v>190</v>
      </c>
      <c r="V665" s="415"/>
      <c r="W665" s="319"/>
      <c r="X665" s="320" t="str">
        <f>IF(W665=[21]Listas!$B$46,[21]Listas!$C$46,IF(W665=[21]Listas!$B$47,[21]Listas!$C$47,IF(W665=[21]Listas!$B$48,[21]Listas!$C$48,"")))</f>
        <v/>
      </c>
      <c r="Y665" s="321" t="str">
        <f>IF(OR(W665=[21]Listas!$F$53,W665=[21]Listas!$F$54),[21]Listas!$G$53,IF(W665=[21]Listas!$F$55,[21]Listas!$G$55,""))</f>
        <v/>
      </c>
      <c r="Z665" s="319"/>
      <c r="AA665" s="182" t="str">
        <f>+IF(Z665=[21]Listas!$E$46,[21]Listas!$F$46,IF(Z665=[21]Listas!$E$47,[21]Listas!$F$47,""))</f>
        <v/>
      </c>
      <c r="AB665" s="183" t="str">
        <f t="shared" ref="AB665:AB671" si="103">IFERROR(X665+AA665,"")</f>
        <v/>
      </c>
      <c r="AC665" s="328"/>
      <c r="AD665" s="329"/>
      <c r="AE665" s="330"/>
      <c r="AF665" s="305" t="str">
        <f t="shared" si="99"/>
        <v>Muy baja</v>
      </c>
      <c r="AG665" s="145">
        <f>IF(Y665=[21]Listas!$G$53,AG664-(AG664*AB665),AG664)</f>
        <v>0.17279999999999998</v>
      </c>
      <c r="AH665" s="562"/>
      <c r="AI665" s="305" t="str">
        <f t="shared" si="102"/>
        <v>Menor</v>
      </c>
      <c r="AJ665" s="145">
        <f>IF(Y665=[21]Listas!$G$55,AJ664-(AJ664*AB665),AJ664)</f>
        <v>0.4</v>
      </c>
      <c r="AK665" s="562"/>
      <c r="AL665" s="565"/>
      <c r="AM665" s="565"/>
      <c r="AN665" s="565"/>
      <c r="AO665" s="568"/>
      <c r="AP665" s="571"/>
      <c r="AQ665" s="324"/>
      <c r="AR665" s="185"/>
    </row>
    <row r="666" spans="2:44" ht="15" hidden="1" customHeight="1" thickTop="1" x14ac:dyDescent="0.35">
      <c r="B666" s="537"/>
      <c r="C666" s="559"/>
      <c r="D666" s="574"/>
      <c r="E666" s="577"/>
      <c r="F666" s="646"/>
      <c r="G666" s="663"/>
      <c r="H666" s="666"/>
      <c r="I666" s="589"/>
      <c r="J666" s="589"/>
      <c r="K666" s="592"/>
      <c r="L666" s="589"/>
      <c r="M666" s="595"/>
      <c r="N666" s="598"/>
      <c r="O666" s="601"/>
      <c r="P666" s="595"/>
      <c r="Q666" s="604"/>
      <c r="R666" s="601"/>
      <c r="S666" s="287"/>
      <c r="T666" s="607"/>
      <c r="U666" s="142" t="s">
        <v>198</v>
      </c>
      <c r="V666" s="415"/>
      <c r="W666" s="331"/>
      <c r="X666" s="320" t="str">
        <f>IF(W666=[21]Listas!$B$46,[21]Listas!$C$46,IF(W666=[21]Listas!$B$47,[21]Listas!$C$47,IF(W666=[21]Listas!$B$48,[21]Listas!$C$48,"")))</f>
        <v/>
      </c>
      <c r="Y666" s="321" t="str">
        <f>IF(OR(W666=[21]Listas!$F$53,W666=[21]Listas!$F$54),[21]Listas!$G$53,IF(W666=[21]Listas!$F$55,[21]Listas!$G$55,""))</f>
        <v/>
      </c>
      <c r="Z666" s="331"/>
      <c r="AA666" s="182" t="str">
        <f>+IF(Z666=[21]Listas!$E$46,[21]Listas!$F$46,IF(Z666=[21]Listas!$E$47,[21]Listas!$F$47,""))</f>
        <v/>
      </c>
      <c r="AB666" s="183" t="str">
        <f t="shared" si="103"/>
        <v/>
      </c>
      <c r="AC666" s="319"/>
      <c r="AD666" s="322"/>
      <c r="AE666" s="323"/>
      <c r="AF666" s="305" t="str">
        <f t="shared" si="99"/>
        <v>Muy baja</v>
      </c>
      <c r="AG666" s="145">
        <f>IF(Y666=[21]Listas!$G$53,AG665-(AG665*AB666),AG665)</f>
        <v>0.17279999999999998</v>
      </c>
      <c r="AH666" s="562"/>
      <c r="AI666" s="305" t="str">
        <f t="shared" si="102"/>
        <v>Menor</v>
      </c>
      <c r="AJ666" s="145">
        <f>IF(Y666=[21]Listas!$G$55,AJ665-(AJ665*AB666),AJ665)</f>
        <v>0.4</v>
      </c>
      <c r="AK666" s="562"/>
      <c r="AL666" s="565"/>
      <c r="AM666" s="565"/>
      <c r="AN666" s="565"/>
      <c r="AO666" s="568"/>
      <c r="AP666" s="571"/>
      <c r="AQ666" s="324"/>
      <c r="AR666" s="185"/>
    </row>
    <row r="667" spans="2:44" ht="15.75" hidden="1" customHeight="1" thickTop="1" x14ac:dyDescent="0.35">
      <c r="B667" s="537"/>
      <c r="C667" s="559"/>
      <c r="D667" s="574"/>
      <c r="E667" s="577"/>
      <c r="F667" s="646"/>
      <c r="G667" s="663"/>
      <c r="H667" s="666"/>
      <c r="I667" s="589"/>
      <c r="J667" s="589"/>
      <c r="K667" s="592"/>
      <c r="L667" s="589"/>
      <c r="M667" s="595"/>
      <c r="N667" s="598"/>
      <c r="O667" s="601"/>
      <c r="P667" s="595"/>
      <c r="Q667" s="604"/>
      <c r="R667" s="601"/>
      <c r="S667" s="288"/>
      <c r="T667" s="607"/>
      <c r="U667" s="142" t="s">
        <v>208</v>
      </c>
      <c r="V667" s="415"/>
      <c r="W667" s="331"/>
      <c r="X667" s="320" t="str">
        <f>IF(W667=[21]Listas!$B$46,[21]Listas!$C$46,IF(W667=[21]Listas!$B$47,[21]Listas!$C$47,IF(W667=[21]Listas!$B$48,[21]Listas!$C$48,"")))</f>
        <v/>
      </c>
      <c r="Y667" s="321" t="str">
        <f>IF(OR(W667=[21]Listas!$F$53,W667=[21]Listas!$F$54),[21]Listas!$G$53,IF(W667=[21]Listas!$F$55,[21]Listas!$G$55,""))</f>
        <v/>
      </c>
      <c r="Z667" s="331"/>
      <c r="AA667" s="182" t="str">
        <f>+IF(Z667=[21]Listas!$E$46,[21]Listas!$F$46,IF(Z667=[21]Listas!$E$47,[21]Listas!$F$47,""))</f>
        <v/>
      </c>
      <c r="AB667" s="183" t="str">
        <f t="shared" si="103"/>
        <v/>
      </c>
      <c r="AC667" s="319"/>
      <c r="AD667" s="322"/>
      <c r="AE667" s="323"/>
      <c r="AF667" s="305" t="str">
        <f t="shared" si="99"/>
        <v>Muy baja</v>
      </c>
      <c r="AG667" s="145">
        <f>IF(Y667=[21]Listas!$G$53,AG666-(AG666*AB667),AG666)</f>
        <v>0.17279999999999998</v>
      </c>
      <c r="AH667" s="562"/>
      <c r="AI667" s="305" t="str">
        <f t="shared" si="102"/>
        <v>Menor</v>
      </c>
      <c r="AJ667" s="145">
        <f>IF(Y667=[21]Listas!$G$55,AJ666-(AJ666*AB667),AJ666)</f>
        <v>0.4</v>
      </c>
      <c r="AK667" s="562"/>
      <c r="AL667" s="565"/>
      <c r="AM667" s="565"/>
      <c r="AN667" s="565"/>
      <c r="AO667" s="568"/>
      <c r="AP667" s="571"/>
      <c r="AQ667" s="332"/>
      <c r="AR667" s="185"/>
    </row>
    <row r="668" spans="2:44" ht="15" hidden="1" customHeight="1" thickTop="1" x14ac:dyDescent="0.35">
      <c r="B668" s="537"/>
      <c r="C668" s="559"/>
      <c r="D668" s="574"/>
      <c r="E668" s="577"/>
      <c r="F668" s="646"/>
      <c r="G668" s="663"/>
      <c r="H668" s="666"/>
      <c r="I668" s="589"/>
      <c r="J668" s="589"/>
      <c r="K668" s="592"/>
      <c r="L668" s="589"/>
      <c r="M668" s="595"/>
      <c r="N668" s="598"/>
      <c r="O668" s="601"/>
      <c r="P668" s="595"/>
      <c r="Q668" s="604"/>
      <c r="R668" s="601"/>
      <c r="S668" s="289"/>
      <c r="T668" s="607"/>
      <c r="U668" s="142" t="s">
        <v>215</v>
      </c>
      <c r="V668" s="415"/>
      <c r="W668" s="331"/>
      <c r="X668" s="320" t="str">
        <f>IF(W668=[21]Listas!$B$46,[21]Listas!$C$46,IF(W668=[21]Listas!$B$47,[21]Listas!$C$47,IF(W668=[21]Listas!$B$48,[21]Listas!$C$48,"")))</f>
        <v/>
      </c>
      <c r="Y668" s="321" t="str">
        <f>IF(OR(W668=[21]Listas!$F$53,W668=[21]Listas!$F$54),[21]Listas!$G$53,IF(W668=[21]Listas!$F$55,[21]Listas!$G$55,""))</f>
        <v/>
      </c>
      <c r="Z668" s="331"/>
      <c r="AA668" s="182" t="str">
        <f>+IF(Z668=[21]Listas!$E$46,[21]Listas!$F$46,IF(Z668=[21]Listas!$E$47,[21]Listas!$F$47,""))</f>
        <v/>
      </c>
      <c r="AB668" s="183" t="str">
        <f t="shared" si="103"/>
        <v/>
      </c>
      <c r="AC668" s="319"/>
      <c r="AD668" s="322"/>
      <c r="AE668" s="323"/>
      <c r="AF668" s="305" t="str">
        <f t="shared" si="99"/>
        <v>Muy baja</v>
      </c>
      <c r="AG668" s="145">
        <f>IF(Y668=[21]Listas!$G$53,AG667-(AG667*AB668),AG667)</f>
        <v>0.17279999999999998</v>
      </c>
      <c r="AH668" s="562"/>
      <c r="AI668" s="305" t="str">
        <f t="shared" si="102"/>
        <v>Menor</v>
      </c>
      <c r="AJ668" s="145">
        <f>IF(Y668=[21]Listas!$G$55,AJ667-(AJ667*AB668),AJ667)</f>
        <v>0.4</v>
      </c>
      <c r="AK668" s="562"/>
      <c r="AL668" s="565"/>
      <c r="AM668" s="565"/>
      <c r="AN668" s="565"/>
      <c r="AO668" s="568"/>
      <c r="AP668" s="571"/>
      <c r="AQ668" s="333"/>
      <c r="AR668" s="185"/>
    </row>
    <row r="669" spans="2:44" ht="15" hidden="1" customHeight="1" thickTop="1" x14ac:dyDescent="0.35">
      <c r="B669" s="537"/>
      <c r="C669" s="559"/>
      <c r="D669" s="574"/>
      <c r="E669" s="577"/>
      <c r="F669" s="646"/>
      <c r="G669" s="663"/>
      <c r="H669" s="666"/>
      <c r="I669" s="589"/>
      <c r="J669" s="589"/>
      <c r="K669" s="592"/>
      <c r="L669" s="589"/>
      <c r="M669" s="595"/>
      <c r="N669" s="598"/>
      <c r="O669" s="601"/>
      <c r="P669" s="595"/>
      <c r="Q669" s="604"/>
      <c r="R669" s="601"/>
      <c r="S669" s="289"/>
      <c r="T669" s="607"/>
      <c r="U669" s="142" t="s">
        <v>220</v>
      </c>
      <c r="V669" s="415"/>
      <c r="W669" s="331"/>
      <c r="X669" s="320" t="str">
        <f>IF(W669=[21]Listas!$B$46,[21]Listas!$C$46,IF(W669=[21]Listas!$B$47,[21]Listas!$C$47,IF(W669=[21]Listas!$B$48,[21]Listas!$C$48,"")))</f>
        <v/>
      </c>
      <c r="Y669" s="321" t="str">
        <f>IF(OR(W669=[21]Listas!$F$53,W669=[21]Listas!$F$54),[21]Listas!$G$53,IF(W669=[21]Listas!$F$55,[21]Listas!$G$55,""))</f>
        <v/>
      </c>
      <c r="Z669" s="331"/>
      <c r="AA669" s="182" t="str">
        <f>+IF(Z669=[21]Listas!$E$46,[21]Listas!$F$46,IF(Z669=[21]Listas!$E$47,[21]Listas!$F$47,""))</f>
        <v/>
      </c>
      <c r="AB669" s="183" t="str">
        <f t="shared" si="103"/>
        <v/>
      </c>
      <c r="AC669" s="319"/>
      <c r="AD669" s="322"/>
      <c r="AE669" s="323"/>
      <c r="AF669" s="305" t="str">
        <f t="shared" si="99"/>
        <v>Muy baja</v>
      </c>
      <c r="AG669" s="145">
        <f>IF(Y669=[21]Listas!$G$53,AG668-(AG668*AB669),AG668)</f>
        <v>0.17279999999999998</v>
      </c>
      <c r="AH669" s="562"/>
      <c r="AI669" s="305" t="str">
        <f t="shared" si="102"/>
        <v>Menor</v>
      </c>
      <c r="AJ669" s="145">
        <f>IF(Y669=[21]Listas!$G$55,AJ668-(AJ668*AB669),AJ668)</f>
        <v>0.4</v>
      </c>
      <c r="AK669" s="562"/>
      <c r="AL669" s="565"/>
      <c r="AM669" s="565"/>
      <c r="AN669" s="565"/>
      <c r="AO669" s="568"/>
      <c r="AP669" s="571"/>
      <c r="AQ669" s="334"/>
      <c r="AR669" s="185"/>
    </row>
    <row r="670" spans="2:44" ht="15" hidden="1" customHeight="1" thickTop="1" x14ac:dyDescent="0.35">
      <c r="B670" s="537"/>
      <c r="C670" s="559"/>
      <c r="D670" s="574"/>
      <c r="E670" s="577"/>
      <c r="F670" s="646"/>
      <c r="G670" s="663"/>
      <c r="H670" s="666"/>
      <c r="I670" s="589"/>
      <c r="J670" s="589"/>
      <c r="K670" s="592"/>
      <c r="L670" s="589"/>
      <c r="M670" s="595"/>
      <c r="N670" s="598"/>
      <c r="O670" s="601"/>
      <c r="P670" s="595"/>
      <c r="Q670" s="604"/>
      <c r="R670" s="601"/>
      <c r="S670" s="289"/>
      <c r="T670" s="607"/>
      <c r="U670" s="142" t="s">
        <v>223</v>
      </c>
      <c r="V670" s="415"/>
      <c r="W670" s="331"/>
      <c r="X670" s="320" t="str">
        <f>IF(W670=[21]Listas!$B$46,[21]Listas!$C$46,IF(W670=[21]Listas!$B$47,[21]Listas!$C$47,IF(W670=[21]Listas!$B$48,[21]Listas!$C$48,"")))</f>
        <v/>
      </c>
      <c r="Y670" s="321" t="str">
        <f>IF(OR(W670=[21]Listas!$F$53,W670=[21]Listas!$F$54),[21]Listas!$G$53,IF(W670=[21]Listas!$F$55,[21]Listas!$G$55,""))</f>
        <v/>
      </c>
      <c r="Z670" s="331"/>
      <c r="AA670" s="182" t="str">
        <f>+IF(Z670=[21]Listas!$E$46,[21]Listas!$F$46,IF(Z670=[21]Listas!$E$47,[21]Listas!$F$47,""))</f>
        <v/>
      </c>
      <c r="AB670" s="183" t="str">
        <f t="shared" si="103"/>
        <v/>
      </c>
      <c r="AC670" s="319"/>
      <c r="AD670" s="322"/>
      <c r="AE670" s="323"/>
      <c r="AF670" s="305" t="str">
        <f t="shared" si="99"/>
        <v>Muy baja</v>
      </c>
      <c r="AG670" s="145">
        <f>IF(Y670=[21]Listas!$G$53,AG669-(AG669*AB670),AG669)</f>
        <v>0.17279999999999998</v>
      </c>
      <c r="AH670" s="562"/>
      <c r="AI670" s="305" t="str">
        <f t="shared" si="102"/>
        <v>Menor</v>
      </c>
      <c r="AJ670" s="145">
        <f>IF(Y670=[21]Listas!$G$55,AJ669-(AJ669*AB670),AJ669)</f>
        <v>0.4</v>
      </c>
      <c r="AK670" s="562"/>
      <c r="AL670" s="565"/>
      <c r="AM670" s="565"/>
      <c r="AN670" s="565"/>
      <c r="AO670" s="568"/>
      <c r="AP670" s="571"/>
      <c r="AQ670" s="324"/>
      <c r="AR670" s="185"/>
    </row>
    <row r="671" spans="2:44" ht="15.75" hidden="1" customHeight="1" thickTop="1" x14ac:dyDescent="0.35">
      <c r="B671" s="537"/>
      <c r="C671" s="559"/>
      <c r="D671" s="575"/>
      <c r="E671" s="578"/>
      <c r="F671" s="647"/>
      <c r="G671" s="664"/>
      <c r="H671" s="667"/>
      <c r="I671" s="590"/>
      <c r="J671" s="590"/>
      <c r="K671" s="593"/>
      <c r="L671" s="590"/>
      <c r="M671" s="596"/>
      <c r="N671" s="599"/>
      <c r="O671" s="602"/>
      <c r="P671" s="596"/>
      <c r="Q671" s="605"/>
      <c r="R671" s="602"/>
      <c r="S671" s="293"/>
      <c r="T671" s="608"/>
      <c r="U671" s="202" t="s">
        <v>224</v>
      </c>
      <c r="V671" s="416"/>
      <c r="W671" s="335"/>
      <c r="X671" s="336" t="str">
        <f>IF(W671=[21]Listas!$B$46,[21]Listas!$C$46,IF(W671=[21]Listas!$B$47,[21]Listas!$C$47,IF(W671=[21]Listas!$B$48,[21]Listas!$C$48,"")))</f>
        <v/>
      </c>
      <c r="Y671" s="337" t="str">
        <f>IF(OR(W671=[21]Listas!$F$53,W671=[21]Listas!$F$54),[21]Listas!$G$53,IF(W671=[21]Listas!$F$55,[21]Listas!$G$55,""))</f>
        <v/>
      </c>
      <c r="Z671" s="335"/>
      <c r="AA671" s="186" t="str">
        <f>+IF(Z671=[21]Listas!$E$46,[21]Listas!$F$46,IF(Z671=[21]Listas!$E$47,[21]Listas!$F$47,""))</f>
        <v/>
      </c>
      <c r="AB671" s="187" t="str">
        <f t="shared" si="103"/>
        <v/>
      </c>
      <c r="AC671" s="338"/>
      <c r="AD671" s="339"/>
      <c r="AE671" s="340"/>
      <c r="AF671" s="311" t="str">
        <f t="shared" si="99"/>
        <v>Muy baja</v>
      </c>
      <c r="AG671" s="179">
        <f>IF(Y671=[21]Listas!$G$53,AG670-(AG670*AB671),AG670)</f>
        <v>0.17279999999999998</v>
      </c>
      <c r="AH671" s="563"/>
      <c r="AI671" s="311" t="str">
        <f t="shared" si="102"/>
        <v>Menor</v>
      </c>
      <c r="AJ671" s="179">
        <f>IF(Y671=[21]Listas!$G$55,AJ670-(AJ670*AB671),AJ670)</f>
        <v>0.4</v>
      </c>
      <c r="AK671" s="563"/>
      <c r="AL671" s="566"/>
      <c r="AM671" s="566"/>
      <c r="AN671" s="566"/>
      <c r="AO671" s="569"/>
      <c r="AP671" s="572"/>
      <c r="AQ671" s="341"/>
      <c r="AR671" s="188"/>
    </row>
    <row r="672" spans="2:44" ht="133.5" customHeight="1" thickTop="1" thickBot="1" x14ac:dyDescent="0.4">
      <c r="B672" s="537"/>
      <c r="C672" s="559"/>
      <c r="D672" s="573" t="s">
        <v>803</v>
      </c>
      <c r="E672" s="576" t="s">
        <v>7</v>
      </c>
      <c r="F672" s="645" t="s">
        <v>804</v>
      </c>
      <c r="G672" s="683" t="s">
        <v>805</v>
      </c>
      <c r="H672" s="684" t="s">
        <v>806</v>
      </c>
      <c r="I672" s="588" t="s">
        <v>28</v>
      </c>
      <c r="J672" s="588" t="s">
        <v>22</v>
      </c>
      <c r="K672" s="592" t="s">
        <v>807</v>
      </c>
      <c r="L672" s="588" t="s">
        <v>168</v>
      </c>
      <c r="M672" s="594" t="s">
        <v>214</v>
      </c>
      <c r="N672" s="597" t="str">
        <f>+IF(M672="","",IF(M672=$BO$15,$BN$15,IF(M672=$BO$16,$BN$16,IF(M672=$BO$17,$BN$17,IF(M672=$BO$18,$BN$18,IF(M672=$BO$19,$BN$19))))))</f>
        <v>Media</v>
      </c>
      <c r="O672" s="600">
        <f>+IF(M672="","",IF(M672=$BO$15,$BR$15,IF(M672=$BO$16,$BR$16,IF(M672=$BO$17,$BR$17,IF(M672=$BO$18,$BR$18,IF(M672=$BO$19,$BR$19))))))</f>
        <v>0.6</v>
      </c>
      <c r="P672" s="594" t="s">
        <v>204</v>
      </c>
      <c r="Q672" s="603" t="str">
        <f>+IF(P672="","",IF(P672='[21]Mapa de Calor inherente'!$AF$6,'[21]Mapa de Calor inherente'!$AD$6,IF(P672='[21]Mapa de Calor inherente'!$AF$7,'[21]Mapa de Calor inherente'!$AD$7,IF(P672='[21]Mapa de Calor inherente'!$AF$8,'[21]Mapa de Calor inherente'!$AD$8,IF(P672='[21]Mapa de Calor inherente'!$AF$9,'[21]Mapa de Calor inherente'!$AD$9,IF(P672='[21]Mapa de Calor inherente'!$AF$10,'[21]Mapa de Calor inherente'!$AD$10,IF(P672='[21]Mapa de Calor inherente'!$AG$6,'[21]Mapa de Calor inherente'!$AD$6,IF(P672='[21]Mapa de Calor inherente'!$AG$7,'[21]Mapa de Calor inherente'!$AD$7,IF(P672='[21]Mapa de Calor inherente'!$AG$8,'[21]Mapa de Calor inherente'!$AD$8,IF(P672='[21]Mapa de Calor inherente'!$AG$9,'[21]Mapa de Calor inherente'!$AD$9,IF(P672='[21]Mapa de Calor inherente'!$AG$10,'[21]Mapa de Calor inherente'!$AD$10,IF(P672='[21]Mapa de Calor inherente'!$AD$8,'[21]Mapa de Calor inherente'!$AD$8,IF(P672='[21]Mapa de Calor inherente'!$AD$9,'[21]Mapa de Calor inherente'!$AD$9,IF(P672='[21]Mapa de Calor inherente'!$AD$10,'[21]Mapa de Calor inherente'!$AD$10))))))))))))))</f>
        <v>Menor</v>
      </c>
      <c r="R672" s="600">
        <f>+IF(P672="","",IF(P672='[21]Mapa de Calor inherente'!$AF$6,'[21]Mapa de Calor inherente'!$AE$6,IF(P672='[21]Mapa de Calor inherente'!$AF$7,'[21]Mapa de Calor inherente'!$AE$7,IF(P672='[21]Mapa de Calor inherente'!$AF$8,'[21]Mapa de Calor inherente'!$AE$8,IF(P672='[21]Mapa de Calor inherente'!$AF$9,'[21]Mapa de Calor inherente'!$AE$9,IF(P672='[21]Mapa de Calor inherente'!$AF$10,'[21]Mapa de Calor inherente'!$AE$10,IF(P672='[21]Mapa de Calor inherente'!$AG$6,'[21]Mapa de Calor inherente'!$AE$6,IF(P672='[21]Mapa de Calor inherente'!$AG$7,'[21]Mapa de Calor inherente'!$AE$7,IF(P672='[21]Mapa de Calor inherente'!$AG$8,'[21]Mapa de Calor inherente'!$AE$8,IF(P672='[21]Mapa de Calor inherente'!$AG$9,'[21]Mapa de Calor inherente'!$AE$9,IF(P672='[21]Mapa de Calor inherente'!$AG$10,'[21]Mapa de Calor inherente'!$AE$10,IF(P672='[21]Mapa de Calor inherente'!$AD$8,'[21]Mapa de Calor inherente'!$AE$8,IF(P672='[21]Mapa de Calor inherente'!$AD$9,'[21]Mapa de Calor inherente'!$AE$9,IF(P672='[21]Mapa de Calor inherente'!$AD$10,'[21]Mapa de Calor inherente'!$AE$10))))))))))))))</f>
        <v>0.4</v>
      </c>
      <c r="S672" s="292"/>
      <c r="T672" s="603" t="str">
        <f>+IF(N672=$BB$17,IF(Q672=$BC$16,$BC$17,IF(Q672=$BD$16,$BD$17,IF(Q672=$BE$16,$BE$17,IF(Q672=$BF$16,$BF$17,IF(Q672=$BG$16,$BG$17))))),IF(N672=$BB$18,IF(Q672=$BC$16,$BC$18,IF(Q672=$BD$16,$BD$18,IF(Q672=$BE$16,$BE$18,IF(Q672=$BF$16,$BF$18,IF(Q672=$BG$16,$BG$18))))),IF(N672=$BB$19,IF(Q672=$BC$16,$BC$19,IF(Q672=$BD$16,$BD$19,IF(Q672=$BE$16,$BE$19,IF(Q672=$BF$16,$BF$19,IF(Q672=$BG$16,$BG$19))))),IF(N672=$BB$20,IF(Q672=$BC$16,$BC$20,IF(Q672=$BD$16,$BD$20,IF(Q672=$BE$16,$BE$20,IF(Q672=$BF$16,$BF$20,IF(Q672=$BG$16,$BG$20))))),IF(N672=$BB$21,IF(Q672=$BC$16,$BC$21,IF(Q672=$BD$16,$BD$21,IF(Q672=$BE$16,$BE$21,IF(Q672=$BF$16,$BF$21,IF(Q672=$BG$16,$BG$21))))),"")))))</f>
        <v>Moderado</v>
      </c>
      <c r="U672" s="139" t="s">
        <v>171</v>
      </c>
      <c r="V672" s="501" t="s">
        <v>808</v>
      </c>
      <c r="W672" s="313" t="s">
        <v>40</v>
      </c>
      <c r="X672" s="314">
        <f>IF(W672=[21]Listas!$B$46,[21]Listas!$C$46,IF(W672=[21]Listas!$B$47,[21]Listas!$C$47,IF(W672=[21]Listas!$B$48,[21]Listas!$C$48,"")))</f>
        <v>0.25</v>
      </c>
      <c r="Y672" s="315" t="str">
        <f>IF(OR(W672=[21]Listas!$F$53,W672=[21]Listas!$F$54),[21]Listas!$G$53,IF(W672=[21]Listas!$F$55,[21]Listas!$G$55,""))</f>
        <v>Probabilidad</v>
      </c>
      <c r="Z672" s="313" t="s">
        <v>43</v>
      </c>
      <c r="AA672" s="314">
        <f>+IF(Z672=[21]Listas!$E$46,[21]Listas!$F$46,IF(Z672=[21]Listas!$E$47,[21]Listas!$F$47,""))</f>
        <v>0.15</v>
      </c>
      <c r="AB672" s="181">
        <f>IFERROR(X672+AA672,"")</f>
        <v>0.4</v>
      </c>
      <c r="AC672" s="313" t="s">
        <v>57</v>
      </c>
      <c r="AD672" s="313" t="s">
        <v>58</v>
      </c>
      <c r="AE672" s="317" t="s">
        <v>59</v>
      </c>
      <c r="AF672" s="299" t="str">
        <f t="shared" si="99"/>
        <v>Baja</v>
      </c>
      <c r="AG672" s="141">
        <f>IF(Y672=[21]Listas!$G$53,O672-(O672*AB672),O672)</f>
        <v>0.36</v>
      </c>
      <c r="AH672" s="561">
        <f>+IF(AG681="","",AG681)</f>
        <v>0.18</v>
      </c>
      <c r="AI672" s="299" t="str">
        <f>IF(AJ672="","",IF(AJ672&lt;=20%,"Leve",IF(AJ672&lt;=40%,"Menor",IF(AJ672&lt;=60%,"Moderado",IF(AJ672&lt;=80%,"Mayor","Catastrófico")))))</f>
        <v>Menor</v>
      </c>
      <c r="AJ672" s="141">
        <f>IF(Y672=[21]Listas!$G$55,R672-(R672*AB672),R672)</f>
        <v>0.4</v>
      </c>
      <c r="AK672" s="561">
        <f>+IF(AJ681="","",AJ681)</f>
        <v>0.4</v>
      </c>
      <c r="AL672" s="564" t="str">
        <f>+IF(AH672=0,"",IF(AH672&lt;=$BA$21,$BB$21,IF(AH672&lt;=$BA$20,$BB$20,IF(AH672&lt;=$BA$19,$BB$19,IF(AH672&lt;=$BA$18,$BB$18,IF(AH672&lt;=$BA$17,$BB$17,""))))))</f>
        <v>Muy Baja</v>
      </c>
      <c r="AM672" s="564" t="str">
        <f>+IF(AK672=0,"",IF(AK672&lt;=$BC$15,$BC$16,IF(AK672&lt;=$BD$15,$BD$16,IF(AK672&lt;=$BE$15,$BE$16,IF(AK672&lt;=$BF$15,$BF$16,IF(AK672&lt;=$BG$15,$BG$16,""))))))</f>
        <v>Menor</v>
      </c>
      <c r="AN672" s="564" t="str">
        <f>IF(AL672=$BB$17,IF(AM672=$BC$16,$BC$17,IF(AM672=$BD$16,$BD$17,IF(AM672=$BE$16,$BE$17,IF(AM672=$BF$16,$BF$17,IF(AM672=$BG$16,$BG$17))))),IF(AL672=$BB$18,IF(AM672=$BC$16,$BC$18,IF(AM672=$BD$16,$BD$18,IF(AM672=$BE$16,$BE$18,IF(AM672=$BF$16,$BF$18,IF(AM672=$BG$16,$BG$18))))),IF(AL672=$BB$19,IF(AM672=$BC$16,$BC$19,IF(AM672=$BD$16,$BD$19,IF(AM672=$BE$16,$BE$19,IF(AM672=$BF$16,$BF$19,IF(AM672=$BG$16,$BG$19))))),IF(AL672=$BB$20,IF(AM672=$BC$16,$BC$20,IF(AM672=$BD$16,$BD$20,IF(AM672=$BE$16,$BE$20,IF(AM672=$BF$16,$BF$20,IF(AM672=$BG$16,$BG$20))))),IF(AL672=$BB$21,IF(AM672=$BC$16,$BC$21,IF(AM672=$BD$16,$BD$21,IF(AM672=$BE$16,$BE$21,IF(AM672=$BF$16,$BF$21,IF(AM672=$BG$16,$BG$21))))),"")))))</f>
        <v>Bajo</v>
      </c>
      <c r="AO672" s="567" t="str">
        <f>IF(AP672="","",IF(AP672=[21]Listas!$F$61,[21]Listas!$G$61,IF(AP672=[21]Listas!$F$63,[21]Listas!$G$63,IF(AP672=[21]Listas!$F$64,[21]Listas!$G$64))))</f>
        <v>No requiere Plan de Acción</v>
      </c>
      <c r="AP672" s="570" t="str">
        <f>IF(AN672="","",IF(OR(AN672=[21]Listas!$E$61,AN672=[21]Listas!$E$62),[21]Listas!$F$61,IF(AN672=[21]Listas!$E$63,[21]Listas!$F$63,IF(AN672=[21]Listas!$E$64,[21]Listas!$F$64))))</f>
        <v>Aceptar  el riesgo</v>
      </c>
      <c r="AQ672" s="342" t="s">
        <v>80</v>
      </c>
      <c r="AR672" s="260" t="s">
        <v>809</v>
      </c>
    </row>
    <row r="673" spans="2:44" ht="116.5" customHeight="1" thickTop="1" thickBot="1" x14ac:dyDescent="0.4">
      <c r="B673" s="537"/>
      <c r="C673" s="559"/>
      <c r="D673" s="574"/>
      <c r="E673" s="577"/>
      <c r="F673" s="646"/>
      <c r="G673" s="663"/>
      <c r="H673" s="666"/>
      <c r="I673" s="589"/>
      <c r="J673" s="589"/>
      <c r="K673" s="592"/>
      <c r="L673" s="589"/>
      <c r="M673" s="595"/>
      <c r="N673" s="598"/>
      <c r="O673" s="601"/>
      <c r="P673" s="595"/>
      <c r="Q673" s="604"/>
      <c r="R673" s="601"/>
      <c r="S673" s="286"/>
      <c r="T673" s="604"/>
      <c r="U673" s="142" t="s">
        <v>174</v>
      </c>
      <c r="V673" s="415" t="s">
        <v>810</v>
      </c>
      <c r="W673" s="331" t="s">
        <v>40</v>
      </c>
      <c r="X673" s="320">
        <f>IF(W673=[21]Listas!$B$46,[21]Listas!$C$46,IF(W673=[21]Listas!$B$47,[21]Listas!$C$47,IF(W673=[21]Listas!$B$48,[21]Listas!$C$48,"")))</f>
        <v>0.25</v>
      </c>
      <c r="Y673" s="321" t="str">
        <f>IF(OR(W673=[21]Listas!$F$53,W673=[21]Listas!$F$54),[21]Listas!$G$53,IF(W673=[21]Listas!$F$55,[21]Listas!$G$55,""))</f>
        <v>Probabilidad</v>
      </c>
      <c r="Z673" s="331" t="s">
        <v>41</v>
      </c>
      <c r="AA673" s="182">
        <f>+IF(Z673=[21]Listas!$E$46,[21]Listas!$F$46,IF(Z673=[21]Listas!$E$47,[21]Listas!$F$47,""))</f>
        <v>0.25</v>
      </c>
      <c r="AB673" s="183">
        <f>IFERROR(X673+AA673,"")</f>
        <v>0.5</v>
      </c>
      <c r="AC673" s="319" t="s">
        <v>57</v>
      </c>
      <c r="AD673" s="319" t="s">
        <v>58</v>
      </c>
      <c r="AE673" s="323" t="s">
        <v>59</v>
      </c>
      <c r="AF673" s="305" t="str">
        <f t="shared" si="99"/>
        <v>Muy baja</v>
      </c>
      <c r="AG673" s="145">
        <f>IF(Y673=[21]Listas!$G$53,AG672-(AG672*AB673),AG672)</f>
        <v>0.18</v>
      </c>
      <c r="AH673" s="562"/>
      <c r="AI673" s="305" t="str">
        <f t="shared" si="102"/>
        <v>Menor</v>
      </c>
      <c r="AJ673" s="145">
        <f>IF(Y673=[21]Listas!$G$55,AJ672-(AJ672*AB673),AJ672)</f>
        <v>0.4</v>
      </c>
      <c r="AK673" s="562"/>
      <c r="AL673" s="565"/>
      <c r="AM673" s="565"/>
      <c r="AN673" s="565"/>
      <c r="AO673" s="568"/>
      <c r="AP673" s="571"/>
      <c r="AQ673" s="343" t="s">
        <v>80</v>
      </c>
      <c r="AR673" s="263" t="s">
        <v>811</v>
      </c>
    </row>
    <row r="674" spans="2:44" ht="69" customHeight="1" thickTop="1" thickBot="1" x14ac:dyDescent="0.4">
      <c r="B674" s="537"/>
      <c r="C674" s="559"/>
      <c r="D674" s="574"/>
      <c r="E674" s="577"/>
      <c r="F674" s="646"/>
      <c r="G674" s="663"/>
      <c r="H674" s="666"/>
      <c r="I674" s="589"/>
      <c r="J674" s="589"/>
      <c r="K674" s="592"/>
      <c r="L674" s="589"/>
      <c r="M674" s="595"/>
      <c r="N674" s="598"/>
      <c r="O674" s="601"/>
      <c r="P674" s="595"/>
      <c r="Q674" s="604"/>
      <c r="R674" s="601"/>
      <c r="S674" s="287"/>
      <c r="T674" s="604"/>
      <c r="U674" s="142" t="s">
        <v>180</v>
      </c>
      <c r="V674" s="415"/>
      <c r="W674" s="331"/>
      <c r="X674" s="320" t="str">
        <f>IF(W674=[21]Listas!$B$46,[21]Listas!$C$46,IF(W674=[21]Listas!$B$47,[21]Listas!$C$47,IF(W674=[21]Listas!$B$48,[21]Listas!$C$48,"")))</f>
        <v/>
      </c>
      <c r="Y674" s="321" t="str">
        <f>IF(OR(W674=[21]Listas!$F$53,W674=[21]Listas!$F$54),[21]Listas!$G$53,IF(W674=[21]Listas!$F$55,[21]Listas!$G$55,""))</f>
        <v/>
      </c>
      <c r="Z674" s="331"/>
      <c r="AA674" s="182" t="str">
        <f>+IF(Z674=[21]Listas!$E$46,[21]Listas!$F$46,IF(Z674=[21]Listas!$E$47,[21]Listas!$F$47,""))</f>
        <v/>
      </c>
      <c r="AB674" s="183" t="str">
        <f>IFERROR(X674+AA674,"")</f>
        <v/>
      </c>
      <c r="AC674" s="319"/>
      <c r="AD674" s="319"/>
      <c r="AE674" s="323"/>
      <c r="AF674" s="305" t="str">
        <f t="shared" si="99"/>
        <v>Muy baja</v>
      </c>
      <c r="AG674" s="145">
        <f>IF(Y674=[21]Listas!$G$53,AG673-(AG673*AB674),AG673)</f>
        <v>0.18</v>
      </c>
      <c r="AH674" s="562"/>
      <c r="AI674" s="305" t="str">
        <f t="shared" si="102"/>
        <v>Menor</v>
      </c>
      <c r="AJ674" s="145">
        <f>IF(Y674=[21]Listas!$G$55,AJ673-(AJ673*AB674),AJ673)</f>
        <v>0.4</v>
      </c>
      <c r="AK674" s="562"/>
      <c r="AL674" s="565"/>
      <c r="AM674" s="565"/>
      <c r="AN674" s="565"/>
      <c r="AO674" s="568"/>
      <c r="AP674" s="571"/>
      <c r="AQ674" s="343" t="s">
        <v>80</v>
      </c>
      <c r="AR674" s="261" t="s">
        <v>812</v>
      </c>
    </row>
    <row r="675" spans="2:44" ht="57" thickTop="1" thickBot="1" x14ac:dyDescent="0.4">
      <c r="B675" s="537"/>
      <c r="C675" s="559"/>
      <c r="D675" s="574"/>
      <c r="E675" s="577"/>
      <c r="F675" s="646"/>
      <c r="G675" s="663"/>
      <c r="H675" s="666"/>
      <c r="I675" s="589"/>
      <c r="J675" s="589"/>
      <c r="K675" s="592"/>
      <c r="L675" s="589"/>
      <c r="M675" s="595"/>
      <c r="N675" s="598"/>
      <c r="O675" s="601"/>
      <c r="P675" s="595"/>
      <c r="Q675" s="604"/>
      <c r="R675" s="601"/>
      <c r="S675" s="287"/>
      <c r="T675" s="604"/>
      <c r="U675" s="142" t="s">
        <v>190</v>
      </c>
      <c r="V675" s="415"/>
      <c r="W675" s="331"/>
      <c r="X675" s="320" t="str">
        <f>IF(W675=[21]Listas!$B$46,[21]Listas!$C$46,IF(W675=[21]Listas!$B$47,[21]Listas!$C$47,IF(W675=[21]Listas!$B$48,[21]Listas!$C$48,"")))</f>
        <v/>
      </c>
      <c r="Y675" s="321" t="str">
        <f>IF(OR(W675=[21]Listas!$F$53,W675=[21]Listas!$F$54),[21]Listas!$G$53,IF(W675=[21]Listas!$F$55,[21]Listas!$G$55,""))</f>
        <v/>
      </c>
      <c r="Z675" s="331"/>
      <c r="AA675" s="182" t="str">
        <f>+IF(Z675=[21]Listas!$E$46,[21]Listas!$F$46,IF(Z675=[21]Listas!$E$47,[21]Listas!$F$47,""))</f>
        <v/>
      </c>
      <c r="AB675" s="183" t="str">
        <f t="shared" ref="AB675:AB681" si="104">IFERROR(X675+AA675,"")</f>
        <v/>
      </c>
      <c r="AC675" s="319"/>
      <c r="AD675" s="319"/>
      <c r="AE675" s="323"/>
      <c r="AF675" s="305" t="str">
        <f t="shared" si="99"/>
        <v>Muy baja</v>
      </c>
      <c r="AG675" s="145">
        <f>IF(Y675=[21]Listas!$G$53,AG674-(AG674*AB675),AG674)</f>
        <v>0.18</v>
      </c>
      <c r="AH675" s="562"/>
      <c r="AI675" s="305" t="str">
        <f t="shared" si="102"/>
        <v>Menor</v>
      </c>
      <c r="AJ675" s="145">
        <f>IF(Y675=[21]Listas!$G$55,AJ674-(AJ674*AB675),AJ674)</f>
        <v>0.4</v>
      </c>
      <c r="AK675" s="562"/>
      <c r="AL675" s="565"/>
      <c r="AM675" s="565"/>
      <c r="AN675" s="565"/>
      <c r="AO675" s="568"/>
      <c r="AP675" s="571"/>
      <c r="AQ675" s="344" t="s">
        <v>90</v>
      </c>
      <c r="AR675" s="264" t="s">
        <v>813</v>
      </c>
    </row>
    <row r="676" spans="2:44" ht="15" hidden="1" customHeight="1" x14ac:dyDescent="0.35">
      <c r="B676" s="537"/>
      <c r="C676" s="559"/>
      <c r="D676" s="574"/>
      <c r="E676" s="577"/>
      <c r="F676" s="646"/>
      <c r="G676" s="663"/>
      <c r="H676" s="666"/>
      <c r="I676" s="589"/>
      <c r="J676" s="589"/>
      <c r="K676" s="592"/>
      <c r="L676" s="589"/>
      <c r="M676" s="595"/>
      <c r="N676" s="598"/>
      <c r="O676" s="601"/>
      <c r="P676" s="595"/>
      <c r="Q676" s="604"/>
      <c r="R676" s="601"/>
      <c r="S676" s="287"/>
      <c r="T676" s="604"/>
      <c r="U676" s="142" t="s">
        <v>198</v>
      </c>
      <c r="V676" s="415"/>
      <c r="W676" s="331"/>
      <c r="X676" s="320" t="str">
        <f>IF(W676=[21]Listas!$B$46,[21]Listas!$C$46,IF(W676=[21]Listas!$B$47,[21]Listas!$C$47,IF(W676=[21]Listas!$B$48,[21]Listas!$C$48,"")))</f>
        <v/>
      </c>
      <c r="Y676" s="321" t="str">
        <f>IF(OR(W676=[21]Listas!$F$53,W676=[21]Listas!$F$54),[21]Listas!$G$53,IF(W676=[21]Listas!$F$55,[21]Listas!$G$55,""))</f>
        <v/>
      </c>
      <c r="Z676" s="331"/>
      <c r="AA676" s="182" t="str">
        <f>+IF(Z676=[21]Listas!$E$46,[21]Listas!$F$46,IF(Z676=[21]Listas!$E$47,[21]Listas!$F$47,""))</f>
        <v/>
      </c>
      <c r="AB676" s="183" t="str">
        <f t="shared" si="104"/>
        <v/>
      </c>
      <c r="AC676" s="319"/>
      <c r="AD676" s="319"/>
      <c r="AE676" s="323"/>
      <c r="AF676" s="305" t="str">
        <f t="shared" si="99"/>
        <v>Muy baja</v>
      </c>
      <c r="AG676" s="145">
        <f>IF(Y676=[21]Listas!$G$53,AG675-(AG675*AB676),AG675)</f>
        <v>0.18</v>
      </c>
      <c r="AH676" s="562"/>
      <c r="AI676" s="305" t="str">
        <f t="shared" si="102"/>
        <v>Menor</v>
      </c>
      <c r="AJ676" s="145">
        <f>IF(Y676=[21]Listas!$G$55,AJ675-(AJ675*AB676),AJ675)</f>
        <v>0.4</v>
      </c>
      <c r="AK676" s="562"/>
      <c r="AL676" s="565"/>
      <c r="AM676" s="565"/>
      <c r="AN676" s="565"/>
      <c r="AO676" s="568"/>
      <c r="AP676" s="571"/>
      <c r="AQ676" s="343"/>
      <c r="AR676" s="199"/>
    </row>
    <row r="677" spans="2:44" ht="15.75" hidden="1" customHeight="1" thickTop="1" x14ac:dyDescent="0.35">
      <c r="B677" s="537"/>
      <c r="C677" s="559"/>
      <c r="D677" s="574"/>
      <c r="E677" s="577"/>
      <c r="F677" s="646"/>
      <c r="G677" s="663"/>
      <c r="H677" s="666"/>
      <c r="I677" s="589"/>
      <c r="J677" s="589"/>
      <c r="K677" s="592"/>
      <c r="L677" s="589"/>
      <c r="M677" s="595"/>
      <c r="N677" s="598"/>
      <c r="O677" s="601"/>
      <c r="P677" s="595"/>
      <c r="Q677" s="604"/>
      <c r="R677" s="601"/>
      <c r="S677" s="288"/>
      <c r="T677" s="604"/>
      <c r="U677" s="142" t="s">
        <v>208</v>
      </c>
      <c r="V677" s="415"/>
      <c r="W677" s="331"/>
      <c r="X677" s="320" t="str">
        <f>IF(W677=[21]Listas!$B$46,[21]Listas!$C$46,IF(W677=[21]Listas!$B$47,[21]Listas!$C$47,IF(W677=[21]Listas!$B$48,[21]Listas!$C$48,"")))</f>
        <v/>
      </c>
      <c r="Y677" s="321" t="str">
        <f>IF(OR(W677=[21]Listas!$F$53,W677=[21]Listas!$F$54),[21]Listas!$G$53,IF(W677=[21]Listas!$F$55,[21]Listas!$G$55,""))</f>
        <v/>
      </c>
      <c r="Z677" s="331"/>
      <c r="AA677" s="182" t="str">
        <f>+IF(Z677=[21]Listas!$E$46,[21]Listas!$F$46,IF(Z677=[21]Listas!$E$47,[21]Listas!$F$47,""))</f>
        <v/>
      </c>
      <c r="AB677" s="183" t="str">
        <f t="shared" si="104"/>
        <v/>
      </c>
      <c r="AC677" s="319"/>
      <c r="AD677" s="319"/>
      <c r="AE677" s="323"/>
      <c r="AF677" s="305" t="str">
        <f t="shared" si="99"/>
        <v>Muy baja</v>
      </c>
      <c r="AG677" s="145">
        <f>IF(Y677=[21]Listas!$G$53,AG676-(AG676*AB677),AG676)</f>
        <v>0.18</v>
      </c>
      <c r="AH677" s="562"/>
      <c r="AI677" s="305" t="str">
        <f t="shared" si="102"/>
        <v>Menor</v>
      </c>
      <c r="AJ677" s="145">
        <f>IF(Y677=[21]Listas!$G$55,AJ676-(AJ676*AB677),AJ676)</f>
        <v>0.4</v>
      </c>
      <c r="AK677" s="562"/>
      <c r="AL677" s="565"/>
      <c r="AM677" s="565"/>
      <c r="AN677" s="565"/>
      <c r="AO677" s="568"/>
      <c r="AP677" s="571"/>
      <c r="AQ677" s="344"/>
      <c r="AR677" s="191"/>
    </row>
    <row r="678" spans="2:44" ht="15" hidden="1" customHeight="1" thickTop="1" x14ac:dyDescent="0.35">
      <c r="B678" s="537"/>
      <c r="C678" s="559"/>
      <c r="D678" s="574"/>
      <c r="E678" s="577"/>
      <c r="F678" s="646"/>
      <c r="G678" s="663"/>
      <c r="H678" s="666"/>
      <c r="I678" s="589"/>
      <c r="J678" s="589"/>
      <c r="K678" s="592"/>
      <c r="L678" s="589"/>
      <c r="M678" s="595"/>
      <c r="N678" s="598"/>
      <c r="O678" s="601"/>
      <c r="P678" s="595"/>
      <c r="Q678" s="604"/>
      <c r="R678" s="601"/>
      <c r="S678" s="289"/>
      <c r="T678" s="604"/>
      <c r="U678" s="142" t="s">
        <v>215</v>
      </c>
      <c r="V678" s="418"/>
      <c r="W678" s="331"/>
      <c r="X678" s="320" t="str">
        <f>IF(W678=[21]Listas!$B$46,[21]Listas!$C$46,IF(W678=[21]Listas!$B$47,[21]Listas!$C$47,IF(W678=[21]Listas!$B$48,[21]Listas!$C$48,"")))</f>
        <v/>
      </c>
      <c r="Y678" s="321" t="str">
        <f>IF(OR(W678=[21]Listas!$F$53,W678=[21]Listas!$F$54),[21]Listas!$G$53,IF(W678=[21]Listas!$F$55,[21]Listas!$G$55,""))</f>
        <v/>
      </c>
      <c r="Z678" s="331"/>
      <c r="AA678" s="182" t="str">
        <f>+IF(Z678=[21]Listas!$E$46,[21]Listas!$F$46,IF(Z678=[21]Listas!$E$47,[21]Listas!$F$47,""))</f>
        <v/>
      </c>
      <c r="AB678" s="183" t="str">
        <f t="shared" si="104"/>
        <v/>
      </c>
      <c r="AC678" s="319"/>
      <c r="AD678" s="322"/>
      <c r="AE678" s="323"/>
      <c r="AF678" s="305" t="str">
        <f t="shared" si="99"/>
        <v>Muy baja</v>
      </c>
      <c r="AG678" s="145">
        <f>IF(Y678=[21]Listas!$G$53,AG677-(AG677*AB678),AG677)</f>
        <v>0.18</v>
      </c>
      <c r="AH678" s="562"/>
      <c r="AI678" s="305" t="str">
        <f t="shared" si="102"/>
        <v>Menor</v>
      </c>
      <c r="AJ678" s="145">
        <f>IF(Y678=[21]Listas!$G$55,AJ677-(AJ677*AB678),AJ677)</f>
        <v>0.4</v>
      </c>
      <c r="AK678" s="562"/>
      <c r="AL678" s="565"/>
      <c r="AM678" s="565"/>
      <c r="AN678" s="565"/>
      <c r="AO678" s="568"/>
      <c r="AP678" s="571"/>
      <c r="AQ678" s="345"/>
      <c r="AR678" s="191"/>
    </row>
    <row r="679" spans="2:44" ht="15" hidden="1" customHeight="1" thickTop="1" x14ac:dyDescent="0.35">
      <c r="B679" s="537"/>
      <c r="C679" s="559"/>
      <c r="D679" s="574"/>
      <c r="E679" s="577"/>
      <c r="F679" s="646"/>
      <c r="G679" s="663"/>
      <c r="H679" s="666"/>
      <c r="I679" s="589"/>
      <c r="J679" s="589"/>
      <c r="K679" s="592"/>
      <c r="L679" s="589"/>
      <c r="M679" s="595"/>
      <c r="N679" s="598"/>
      <c r="O679" s="601"/>
      <c r="P679" s="595"/>
      <c r="Q679" s="604"/>
      <c r="R679" s="601"/>
      <c r="S679" s="289"/>
      <c r="T679" s="604"/>
      <c r="U679" s="142" t="s">
        <v>220</v>
      </c>
      <c r="V679" s="418"/>
      <c r="W679" s="331"/>
      <c r="X679" s="320" t="str">
        <f>IF(W679=[21]Listas!$B$46,[21]Listas!$C$46,IF(W679=[21]Listas!$B$47,[21]Listas!$C$47,IF(W679=[21]Listas!$B$48,[21]Listas!$C$48,"")))</f>
        <v/>
      </c>
      <c r="Y679" s="321" t="str">
        <f>IF(OR(W679=[21]Listas!$F$53,W679=[21]Listas!$F$54),[21]Listas!$G$53,IF(W679=[21]Listas!$F$55,[21]Listas!$G$55,""))</f>
        <v/>
      </c>
      <c r="Z679" s="331"/>
      <c r="AA679" s="182" t="str">
        <f>+IF(Z679=[21]Listas!$E$46,[21]Listas!$F$46,IF(Z679=[21]Listas!$E$47,[21]Listas!$F$47,""))</f>
        <v/>
      </c>
      <c r="AB679" s="183" t="str">
        <f t="shared" si="104"/>
        <v/>
      </c>
      <c r="AC679" s="319"/>
      <c r="AD679" s="322"/>
      <c r="AE679" s="323"/>
      <c r="AF679" s="305" t="str">
        <f t="shared" si="99"/>
        <v>Muy baja</v>
      </c>
      <c r="AG679" s="145">
        <f>IF(Y679=[21]Listas!$G$53,AG678-(AG678*AB679),AG678)</f>
        <v>0.18</v>
      </c>
      <c r="AH679" s="562"/>
      <c r="AI679" s="305" t="str">
        <f t="shared" si="102"/>
        <v>Menor</v>
      </c>
      <c r="AJ679" s="145">
        <f>IF(Y679=[21]Listas!$G$55,AJ678-(AJ678*AB679),AJ678)</f>
        <v>0.4</v>
      </c>
      <c r="AK679" s="562"/>
      <c r="AL679" s="565"/>
      <c r="AM679" s="565"/>
      <c r="AN679" s="565"/>
      <c r="AO679" s="568"/>
      <c r="AP679" s="571"/>
      <c r="AQ679" s="343"/>
      <c r="AR679" s="191"/>
    </row>
    <row r="680" spans="2:44" ht="15" hidden="1" customHeight="1" thickTop="1" x14ac:dyDescent="0.35">
      <c r="B680" s="537"/>
      <c r="C680" s="559"/>
      <c r="D680" s="574"/>
      <c r="E680" s="577"/>
      <c r="F680" s="646"/>
      <c r="G680" s="663"/>
      <c r="H680" s="666"/>
      <c r="I680" s="589"/>
      <c r="J680" s="589"/>
      <c r="K680" s="592"/>
      <c r="L680" s="589"/>
      <c r="M680" s="595"/>
      <c r="N680" s="598"/>
      <c r="O680" s="601"/>
      <c r="P680" s="595"/>
      <c r="Q680" s="604"/>
      <c r="R680" s="601"/>
      <c r="S680" s="289"/>
      <c r="T680" s="604"/>
      <c r="U680" s="142" t="s">
        <v>223</v>
      </c>
      <c r="V680" s="418"/>
      <c r="W680" s="331"/>
      <c r="X680" s="320" t="str">
        <f>IF(W680=[21]Listas!$B$46,[21]Listas!$C$46,IF(W680=[21]Listas!$B$47,[21]Listas!$C$47,IF(W680=[21]Listas!$B$48,[21]Listas!$C$48,"")))</f>
        <v/>
      </c>
      <c r="Y680" s="321" t="str">
        <f>IF(OR(W680=[21]Listas!$F$53,W680=[21]Listas!$F$54),[21]Listas!$G$53,IF(W680=[21]Listas!$F$55,[21]Listas!$G$55,""))</f>
        <v/>
      </c>
      <c r="Z680" s="331"/>
      <c r="AA680" s="182" t="str">
        <f>+IF(Z680=[21]Listas!$E$46,[21]Listas!$F$46,IF(Z680=[21]Listas!$E$47,[21]Listas!$F$47,""))</f>
        <v/>
      </c>
      <c r="AB680" s="183" t="str">
        <f t="shared" si="104"/>
        <v/>
      </c>
      <c r="AC680" s="319"/>
      <c r="AD680" s="322"/>
      <c r="AE680" s="323"/>
      <c r="AF680" s="305" t="str">
        <f t="shared" si="99"/>
        <v>Muy baja</v>
      </c>
      <c r="AG680" s="145">
        <f>IF(Y680=[21]Listas!$G$53,AG679-(AG679*AB680),AG679)</f>
        <v>0.18</v>
      </c>
      <c r="AH680" s="562"/>
      <c r="AI680" s="305" t="str">
        <f t="shared" si="102"/>
        <v>Menor</v>
      </c>
      <c r="AJ680" s="145">
        <f>IF(Y680=[21]Listas!$G$55,AJ679-(AJ679*AB680),AJ679)</f>
        <v>0.4</v>
      </c>
      <c r="AK680" s="562"/>
      <c r="AL680" s="565"/>
      <c r="AM680" s="565"/>
      <c r="AN680" s="565"/>
      <c r="AO680" s="568"/>
      <c r="AP680" s="571"/>
      <c r="AQ680" s="344"/>
      <c r="AR680" s="191"/>
    </row>
    <row r="681" spans="2:44" ht="15.75" hidden="1" customHeight="1" thickTop="1" x14ac:dyDescent="0.35">
      <c r="B681" s="537"/>
      <c r="C681" s="559"/>
      <c r="D681" s="575"/>
      <c r="E681" s="578"/>
      <c r="F681" s="647"/>
      <c r="G681" s="664"/>
      <c r="H681" s="667"/>
      <c r="I681" s="590"/>
      <c r="J681" s="590"/>
      <c r="K681" s="593"/>
      <c r="L681" s="590"/>
      <c r="M681" s="596"/>
      <c r="N681" s="599"/>
      <c r="O681" s="602"/>
      <c r="P681" s="596"/>
      <c r="Q681" s="605"/>
      <c r="R681" s="602"/>
      <c r="S681" s="293"/>
      <c r="T681" s="605"/>
      <c r="U681" s="202" t="s">
        <v>224</v>
      </c>
      <c r="V681" s="416"/>
      <c r="W681" s="335"/>
      <c r="X681" s="336" t="str">
        <f>IF(W681=[21]Listas!$B$46,[21]Listas!$C$46,IF(W681=[21]Listas!$B$47,[21]Listas!$C$47,IF(W681=[21]Listas!$B$48,[21]Listas!$C$48,"")))</f>
        <v/>
      </c>
      <c r="Y681" s="337" t="str">
        <f>IF(OR(W681=[21]Listas!$F$53,W681=[21]Listas!$F$54),[21]Listas!$G$53,IF(W681=[21]Listas!$F$55,[21]Listas!$G$55,""))</f>
        <v/>
      </c>
      <c r="Z681" s="335"/>
      <c r="AA681" s="186" t="str">
        <f>+IF(Z681=[21]Listas!$E$46,[21]Listas!$F$46,IF(Z681=[21]Listas!$E$47,[21]Listas!$F$47,""))</f>
        <v/>
      </c>
      <c r="AB681" s="187" t="str">
        <f t="shared" si="104"/>
        <v/>
      </c>
      <c r="AC681" s="338"/>
      <c r="AD681" s="339"/>
      <c r="AE681" s="340"/>
      <c r="AF681" s="311" t="str">
        <f t="shared" si="99"/>
        <v>Muy baja</v>
      </c>
      <c r="AG681" s="179">
        <f>IF(Y681=[21]Listas!$G$53,AG680-(AG680*AB681),AG680)</f>
        <v>0.18</v>
      </c>
      <c r="AH681" s="563"/>
      <c r="AI681" s="311" t="str">
        <f t="shared" si="102"/>
        <v>Menor</v>
      </c>
      <c r="AJ681" s="179">
        <f>IF(Y681=[21]Listas!$G$55,AJ680-(AJ680*AB681),AJ680)</f>
        <v>0.4</v>
      </c>
      <c r="AK681" s="563"/>
      <c r="AL681" s="566"/>
      <c r="AM681" s="566"/>
      <c r="AN681" s="566"/>
      <c r="AO681" s="569"/>
      <c r="AP681" s="572"/>
      <c r="AQ681" s="346"/>
      <c r="AR681" s="192"/>
    </row>
    <row r="682" spans="2:44" ht="148.5" customHeight="1" thickTop="1" thickBot="1" x14ac:dyDescent="0.4">
      <c r="B682" s="537"/>
      <c r="C682" s="559"/>
      <c r="D682" s="573" t="s">
        <v>814</v>
      </c>
      <c r="E682" s="576" t="s">
        <v>7</v>
      </c>
      <c r="F682" s="624" t="s">
        <v>815</v>
      </c>
      <c r="G682" s="691" t="s">
        <v>816</v>
      </c>
      <c r="H682" s="691" t="s">
        <v>817</v>
      </c>
      <c r="I682" s="588" t="s">
        <v>20</v>
      </c>
      <c r="J682" s="588" t="s">
        <v>34</v>
      </c>
      <c r="K682" s="591" t="s">
        <v>807</v>
      </c>
      <c r="L682" s="588" t="s">
        <v>185</v>
      </c>
      <c r="M682" s="594" t="s">
        <v>214</v>
      </c>
      <c r="N682" s="597" t="str">
        <f>+IF(M682="","",IF(M682=$BO$15,$BN$15,IF(M682=$BO$16,$BN$16,IF(M682=$BO$17,$BN$17,IF(M682=$BO$18,$BN$18,IF(M682=$BO$19,$BN$19))))))</f>
        <v>Media</v>
      </c>
      <c r="O682" s="600">
        <f>+IF(M682="","",IF(M682=$BO$15,$BR$15,IF(M682=$BO$16,$BR$16,IF(M682=$BO$17,$BR$17,IF(M682=$BO$18,$BR$18,IF(M682=$BO$19,$BR$19))))))</f>
        <v>0.6</v>
      </c>
      <c r="P682" s="594" t="s">
        <v>204</v>
      </c>
      <c r="Q682" s="603" t="str">
        <f>+IF(P682="","",IF(P682='[21]Mapa de Calor inherente'!$AF$6,'[21]Mapa de Calor inherente'!$AD$6,IF(P682='[21]Mapa de Calor inherente'!$AF$7,'[21]Mapa de Calor inherente'!$AD$7,IF(P682='[21]Mapa de Calor inherente'!$AF$8,'[21]Mapa de Calor inherente'!$AD$8,IF(P682='[21]Mapa de Calor inherente'!$AF$9,'[21]Mapa de Calor inherente'!$AD$9,IF(P682='[21]Mapa de Calor inherente'!$AF$10,'[21]Mapa de Calor inherente'!$AD$10,IF(P682='[21]Mapa de Calor inherente'!$AG$6,'[21]Mapa de Calor inherente'!$AD$6,IF(P682='[21]Mapa de Calor inherente'!$AG$7,'[21]Mapa de Calor inherente'!$AD$7,IF(P682='[21]Mapa de Calor inherente'!$AG$8,'[21]Mapa de Calor inherente'!$AD$8,IF(P682='[21]Mapa de Calor inherente'!$AG$9,'[21]Mapa de Calor inherente'!$AD$9,IF(P682='[21]Mapa de Calor inherente'!$AG$10,'[21]Mapa de Calor inherente'!$AD$10,IF(P682='[21]Mapa de Calor inherente'!$AD$8,'[21]Mapa de Calor inherente'!$AD$8,IF(P682='[21]Mapa de Calor inherente'!$AD$9,'[21]Mapa de Calor inherente'!$AD$9,IF(P682='[21]Mapa de Calor inherente'!$AD$10,'[21]Mapa de Calor inherente'!$AD$10))))))))))))))</f>
        <v>Menor</v>
      </c>
      <c r="R682" s="600">
        <f>+IF(P682="","",IF(P682='[21]Mapa de Calor inherente'!$AF$6,'[21]Mapa de Calor inherente'!$AE$6,IF(P682='[21]Mapa de Calor inherente'!$AF$7,'[21]Mapa de Calor inherente'!$AE$7,IF(P682='[21]Mapa de Calor inherente'!$AF$8,'[21]Mapa de Calor inherente'!$AE$8,IF(P682='[21]Mapa de Calor inherente'!$AF$9,'[21]Mapa de Calor inherente'!$AE$9,IF(P682='[21]Mapa de Calor inherente'!$AF$10,'[21]Mapa de Calor inherente'!$AE$10,IF(P682='[21]Mapa de Calor inherente'!$AG$6,'[21]Mapa de Calor inherente'!$AE$6,IF(P682='[21]Mapa de Calor inherente'!$AG$7,'[21]Mapa de Calor inherente'!$AE$7,IF(P682='[21]Mapa de Calor inherente'!$AG$8,'[21]Mapa de Calor inherente'!$AE$8,IF(P682='[21]Mapa de Calor inherente'!$AG$9,'[21]Mapa de Calor inherente'!$AE$9,IF(P682='[21]Mapa de Calor inherente'!$AG$10,'[21]Mapa de Calor inherente'!$AE$10,IF(P682='[21]Mapa de Calor inherente'!$AD$8,'[21]Mapa de Calor inherente'!$AE$8,IF(P682='[21]Mapa de Calor inherente'!$AD$9,'[21]Mapa de Calor inherente'!$AE$9,IF(P682='[21]Mapa de Calor inherente'!$AD$10,'[21]Mapa de Calor inherente'!$AE$10))))))))))))))</f>
        <v>0.4</v>
      </c>
      <c r="S682" s="292"/>
      <c r="T682" s="603" t="str">
        <f>+IF(N682=$BB$17,IF(Q682=$BC$16,$BC$17,IF(Q682=$BD$16,$BD$17,IF(Q682=$BE$16,$BE$17,IF(Q682=$BF$16,$BF$17,IF(Q682=$BG$16,$BG$17))))),IF(N682=$BB$18,IF(Q682=$BC$16,$BC$18,IF(Q682=$BD$16,$BD$18,IF(Q682=$BE$16,$BE$18,IF(Q682=$BF$16,$BF$18,IF(Q682=$BG$16,$BG$18))))),IF(N682=$BB$19,IF(Q682=$BC$16,$BC$19,IF(Q682=$BD$16,$BD$19,IF(Q682=$BE$16,$BE$19,IF(Q682=$BF$16,$BF$19,IF(Q682=$BG$16,$BG$19))))),IF(N682=$BB$20,IF(Q682=$BC$16,$BC$20,IF(Q682=$BD$16,$BD$20,IF(Q682=$BE$16,$BE$20,IF(Q682=$BF$16,$BF$20,IF(Q682=$BG$16,$BG$20))))),IF(N682=$BB$21,IF(Q682=$BC$16,$BC$21,IF(Q682=$BD$16,$BD$21,IF(Q682=$BE$16,$BE$21,IF(Q682=$BF$16,$BF$21,IF(Q682=$BG$16,$BG$21))))),"")))))</f>
        <v>Moderado</v>
      </c>
      <c r="U682" s="139" t="s">
        <v>171</v>
      </c>
      <c r="V682" s="436" t="s">
        <v>818</v>
      </c>
      <c r="W682" s="313" t="s">
        <v>40</v>
      </c>
      <c r="X682" s="314">
        <f>IF(W682=[21]Listas!$B$46,[21]Listas!$C$46,IF(W682=[21]Listas!$B$47,[21]Listas!$C$47,IF(W682=[21]Listas!$B$48,[21]Listas!$C$48,"")))</f>
        <v>0.25</v>
      </c>
      <c r="Y682" s="315" t="str">
        <f>IF(OR(W682=[21]Listas!$F$53,W682=[21]Listas!$F$54),[21]Listas!$G$53,IF(W682=[21]Listas!$F$55,[21]Listas!$G$55,""))</f>
        <v>Probabilidad</v>
      </c>
      <c r="Z682" s="313" t="s">
        <v>43</v>
      </c>
      <c r="AA682" s="314">
        <f>+IF(Z682=[21]Listas!$E$46,[21]Listas!$F$46,IF(Z682=[21]Listas!$E$47,[21]Listas!$F$47,""))</f>
        <v>0.15</v>
      </c>
      <c r="AB682" s="181">
        <f>IFERROR(X682+AA682,"")</f>
        <v>0.4</v>
      </c>
      <c r="AC682" s="313" t="s">
        <v>57</v>
      </c>
      <c r="AD682" s="316" t="s">
        <v>58</v>
      </c>
      <c r="AE682" s="317" t="s">
        <v>59</v>
      </c>
      <c r="AF682" s="299" t="str">
        <f t="shared" si="99"/>
        <v>Baja</v>
      </c>
      <c r="AG682" s="141">
        <f>IF(Y682=[21]Listas!$G$53,O682-(O682*AB682),O682)</f>
        <v>0.36</v>
      </c>
      <c r="AH682" s="561">
        <f>+IF(AG691="","",AG691)</f>
        <v>0.216</v>
      </c>
      <c r="AI682" s="299" t="str">
        <f>IF(AJ682="","",IF(AJ682&lt;=20%,"Leve",IF(AJ682&lt;=40%,"Menor",IF(AJ682&lt;=60%,"Moderado",IF(AJ682&lt;=80%,"Mayor","Catastrófico")))))</f>
        <v>Menor</v>
      </c>
      <c r="AJ682" s="141">
        <f>IF(Y682=[21]Listas!$G$55,R682-(R682*AB682),R682)</f>
        <v>0.4</v>
      </c>
      <c r="AK682" s="561">
        <f>+IF(AJ691="","",AJ691)</f>
        <v>0.4</v>
      </c>
      <c r="AL682" s="564" t="str">
        <f>+IF(AH682=0,"",IF(AH682&lt;=$BA$21,$BB$21,IF(AH682&lt;=$BA$20,$BB$20,IF(AH682&lt;=$BA$19,$BB$19,IF(AH682&lt;=$BA$18,$BB$18,IF(AH682&lt;=$BA$17,$BB$17,""))))))</f>
        <v>Baja</v>
      </c>
      <c r="AM682" s="564" t="str">
        <f>+IF(AK682=0,"",IF(AK682&lt;=$BC$15,$BC$16,IF(AK682&lt;=$BD$15,$BD$16,IF(AK682&lt;=$BE$15,$BE$16,IF(AK682&lt;=$BF$15,$BF$16,IF(AK682&lt;=$BG$15,$BG$16,""))))))</f>
        <v>Menor</v>
      </c>
      <c r="AN682" s="564" t="str">
        <f>IF(AL682=$BB$17,IF(AM682=$BC$16,$BC$17,IF(AM682=$BD$16,$BD$17,IF(AM682=$BE$16,$BE$17,IF(AM682=$BF$16,$BF$17,IF(AM682=$BG$16,$BG$17))))),IF(AL682=$BB$18,IF(AM682=$BC$16,$BC$18,IF(AM682=$BD$16,$BD$18,IF(AM682=$BE$16,$BE$18,IF(AM682=$BF$16,$BF$18,IF(AM682=$BG$16,$BG$18))))),IF(AL682=$BB$19,IF(AM682=$BC$16,$BC$19,IF(AM682=$BD$16,$BD$19,IF(AM682=$BE$16,$BE$19,IF(AM682=$BF$16,$BF$19,IF(AM682=$BG$16,$BG$19))))),IF(AL682=$BB$20,IF(AM682=$BC$16,$BC$20,IF(AM682=$BD$16,$BD$20,IF(AM682=$BE$16,$BE$20,IF(AM682=$BF$16,$BF$20,IF(AM682=$BG$16,$BG$20))))),IF(AL682=$BB$21,IF(AM682=$BC$16,$BC$21,IF(AM682=$BD$16,$BD$21,IF(AM682=$BE$16,$BE$21,IF(AM682=$BF$16,$BF$21,IF(AM682=$BG$16,$BG$21))))),"")))))</f>
        <v>Moderado</v>
      </c>
      <c r="AO682" s="567" t="str">
        <f>IF(AP682="","",IF(AP682=[21]Listas!$F$61,[21]Listas!$G$61,IF(AP682=[21]Listas!$F$63,[21]Listas!$G$63,IF(AP682=[21]Listas!$F$64,[21]Listas!$G$64))))</f>
        <v>Requiere Plan de Acción</v>
      </c>
      <c r="AP682" s="570" t="str">
        <f>IF(AN682="","",IF(OR(AN682=[21]Listas!$E$61,AN682=[21]Listas!$E$62),[21]Listas!$F$61,IF(AN682=[21]Listas!$E$63,[21]Listas!$F$63,IF(AN682=[21]Listas!$E$64,[21]Listas!$F$64))))</f>
        <v>Aceptar o reducir el riesgo</v>
      </c>
      <c r="AQ682" s="342" t="s">
        <v>80</v>
      </c>
      <c r="AR682" s="260" t="s">
        <v>819</v>
      </c>
    </row>
    <row r="683" spans="2:44" ht="132" customHeight="1" thickTop="1" thickBot="1" x14ac:dyDescent="0.4">
      <c r="B683" s="537"/>
      <c r="C683" s="559"/>
      <c r="D683" s="574"/>
      <c r="E683" s="577"/>
      <c r="F683" s="625"/>
      <c r="G683" s="628"/>
      <c r="H683" s="628"/>
      <c r="I683" s="589"/>
      <c r="J683" s="589"/>
      <c r="K683" s="592"/>
      <c r="L683" s="589"/>
      <c r="M683" s="595"/>
      <c r="N683" s="598"/>
      <c r="O683" s="601"/>
      <c r="P683" s="595"/>
      <c r="Q683" s="604"/>
      <c r="R683" s="601"/>
      <c r="S683" s="286"/>
      <c r="T683" s="604"/>
      <c r="U683" s="142" t="s">
        <v>174</v>
      </c>
      <c r="V683" s="502" t="s">
        <v>820</v>
      </c>
      <c r="W683" s="319" t="s">
        <v>40</v>
      </c>
      <c r="X683" s="320">
        <f>IF(W683=[21]Listas!$B$46,[21]Listas!$C$46,IF(W683=[21]Listas!$B$47,[21]Listas!$C$47,IF(W683=[21]Listas!$B$48,[21]Listas!$C$48,"")))</f>
        <v>0.25</v>
      </c>
      <c r="Y683" s="321" t="str">
        <f>IF(OR(W683=[21]Listas!$F$53,W683=[21]Listas!$F$54),[21]Listas!$G$53,IF(W683=[21]Listas!$F$55,[21]Listas!$G$55,""))</f>
        <v>Probabilidad</v>
      </c>
      <c r="Z683" s="319" t="s">
        <v>43</v>
      </c>
      <c r="AA683" s="182">
        <f>+IF(Z683=[21]Listas!$E$46,[21]Listas!$F$46,IF(Z683=[21]Listas!$E$47,[21]Listas!$F$47,""))</f>
        <v>0.15</v>
      </c>
      <c r="AB683" s="183">
        <f>IFERROR(X683+AA683,"")</f>
        <v>0.4</v>
      </c>
      <c r="AC683" s="319" t="s">
        <v>57</v>
      </c>
      <c r="AD683" s="322" t="s">
        <v>58</v>
      </c>
      <c r="AE683" s="323" t="s">
        <v>59</v>
      </c>
      <c r="AF683" s="305" t="str">
        <f t="shared" si="99"/>
        <v>Baja</v>
      </c>
      <c r="AG683" s="145">
        <f>IF(Y683=[21]Listas!$G$53,AG682-(AG682*AB683),AG682)</f>
        <v>0.216</v>
      </c>
      <c r="AH683" s="562"/>
      <c r="AI683" s="305" t="str">
        <f t="shared" si="102"/>
        <v>Menor</v>
      </c>
      <c r="AJ683" s="145">
        <f>IF(Y683=[21]Listas!$G$55,AJ682-(AJ682*AB683),AJ682)</f>
        <v>0.4</v>
      </c>
      <c r="AK683" s="562"/>
      <c r="AL683" s="565"/>
      <c r="AM683" s="565"/>
      <c r="AN683" s="565"/>
      <c r="AO683" s="568"/>
      <c r="AP683" s="571"/>
      <c r="AQ683" s="344" t="s">
        <v>90</v>
      </c>
      <c r="AR683" s="261" t="s">
        <v>821</v>
      </c>
    </row>
    <row r="684" spans="2:44" ht="15.65" hidden="1" customHeight="1" thickTop="1" x14ac:dyDescent="0.35">
      <c r="B684" s="537"/>
      <c r="C684" s="559"/>
      <c r="D684" s="574"/>
      <c r="E684" s="577"/>
      <c r="F684" s="625"/>
      <c r="G684" s="628"/>
      <c r="H684" s="628"/>
      <c r="I684" s="589"/>
      <c r="J684" s="589"/>
      <c r="K684" s="592"/>
      <c r="L684" s="589"/>
      <c r="M684" s="595"/>
      <c r="N684" s="598"/>
      <c r="O684" s="601"/>
      <c r="P684" s="595"/>
      <c r="Q684" s="604"/>
      <c r="R684" s="601"/>
      <c r="S684" s="287"/>
      <c r="T684" s="604"/>
      <c r="U684" s="142" t="s">
        <v>180</v>
      </c>
      <c r="V684" s="415"/>
      <c r="W684" s="319"/>
      <c r="X684" s="320" t="str">
        <f>IF(W684=[21]Listas!$B$46,[21]Listas!$C$46,IF(W684=[21]Listas!$B$47,[21]Listas!$C$47,IF(W684=[21]Listas!$B$48,[21]Listas!$C$48,"")))</f>
        <v/>
      </c>
      <c r="Y684" s="321" t="str">
        <f>IF(OR(W684=[21]Listas!$F$53,W684=[21]Listas!$F$54),[21]Listas!$G$53,IF(W684=[21]Listas!$F$55,[21]Listas!$G$55,""))</f>
        <v/>
      </c>
      <c r="Z684" s="319"/>
      <c r="AA684" s="182" t="str">
        <f>+IF(Z684=[21]Listas!$E$46,[21]Listas!$F$46,IF(Z684=[21]Listas!$E$47,[21]Listas!$F$47,""))</f>
        <v/>
      </c>
      <c r="AB684" s="183" t="str">
        <f>IFERROR(X684+AA684,"")</f>
        <v/>
      </c>
      <c r="AC684" s="319"/>
      <c r="AD684" s="322"/>
      <c r="AE684" s="323"/>
      <c r="AF684" s="305" t="str">
        <f t="shared" si="99"/>
        <v>Baja</v>
      </c>
      <c r="AG684" s="145">
        <f>IF(Y684=[21]Listas!$G$53,AG683-(AG683*AB684),AG683)</f>
        <v>0.216</v>
      </c>
      <c r="AH684" s="562"/>
      <c r="AI684" s="305" t="str">
        <f t="shared" si="102"/>
        <v>Menor</v>
      </c>
      <c r="AJ684" s="145">
        <f>IF(Y684=[21]Listas!$G$55,AJ683-(AJ683*AB684),AJ683)</f>
        <v>0.4</v>
      </c>
      <c r="AK684" s="562"/>
      <c r="AL684" s="565"/>
      <c r="AM684" s="565"/>
      <c r="AN684" s="565"/>
      <c r="AO684" s="568"/>
      <c r="AP684" s="571"/>
      <c r="AQ684" s="344"/>
      <c r="AR684" s="191"/>
    </row>
    <row r="685" spans="2:44" ht="15.65" hidden="1" customHeight="1" thickTop="1" x14ac:dyDescent="0.35">
      <c r="B685" s="537"/>
      <c r="C685" s="559"/>
      <c r="D685" s="574"/>
      <c r="E685" s="577"/>
      <c r="F685" s="625"/>
      <c r="G685" s="628"/>
      <c r="H685" s="628"/>
      <c r="I685" s="589"/>
      <c r="J685" s="589"/>
      <c r="K685" s="592"/>
      <c r="L685" s="589"/>
      <c r="M685" s="595"/>
      <c r="N685" s="598"/>
      <c r="O685" s="601"/>
      <c r="P685" s="595"/>
      <c r="Q685" s="604"/>
      <c r="R685" s="601"/>
      <c r="S685" s="287"/>
      <c r="T685" s="604"/>
      <c r="U685" s="142" t="s">
        <v>190</v>
      </c>
      <c r="V685" s="415"/>
      <c r="W685" s="319"/>
      <c r="X685" s="320" t="str">
        <f>IF(W685=[21]Listas!$B$46,[21]Listas!$C$46,IF(W685=[21]Listas!$B$47,[21]Listas!$C$47,IF(W685=[21]Listas!$B$48,[21]Listas!$C$48,"")))</f>
        <v/>
      </c>
      <c r="Y685" s="321" t="str">
        <f>IF(OR(W685=[21]Listas!$F$53,W685=[21]Listas!$F$54),[21]Listas!$G$53,IF(W685=[21]Listas!$F$55,[21]Listas!$G$55,""))</f>
        <v/>
      </c>
      <c r="Z685" s="319"/>
      <c r="AA685" s="182" t="str">
        <f>+IF(Z685=[21]Listas!$E$46,[21]Listas!$F$46,IF(Z685=[21]Listas!$E$47,[21]Listas!$F$47,""))</f>
        <v/>
      </c>
      <c r="AB685" s="183" t="str">
        <f t="shared" ref="AB685:AB691" si="105">IFERROR(X685+AA685,"")</f>
        <v/>
      </c>
      <c r="AC685" s="319"/>
      <c r="AD685" s="322"/>
      <c r="AE685" s="323"/>
      <c r="AF685" s="305" t="str">
        <f t="shared" si="99"/>
        <v>Baja</v>
      </c>
      <c r="AG685" s="145">
        <f>IF(Y685=[21]Listas!$G$53,AG684-(AG684*AB685),AG684)</f>
        <v>0.216</v>
      </c>
      <c r="AH685" s="562"/>
      <c r="AI685" s="305" t="str">
        <f t="shared" si="102"/>
        <v>Menor</v>
      </c>
      <c r="AJ685" s="145">
        <f>IF(Y685=[21]Listas!$G$55,AJ684-(AJ684*AB685),AJ684)</f>
        <v>0.4</v>
      </c>
      <c r="AK685" s="562"/>
      <c r="AL685" s="565"/>
      <c r="AM685" s="565"/>
      <c r="AN685" s="565"/>
      <c r="AO685" s="568"/>
      <c r="AP685" s="571"/>
      <c r="AQ685" s="344"/>
      <c r="AR685" s="191"/>
    </row>
    <row r="686" spans="2:44" ht="15.65" hidden="1" customHeight="1" thickTop="1" x14ac:dyDescent="0.35">
      <c r="B686" s="537"/>
      <c r="C686" s="559"/>
      <c r="D686" s="574"/>
      <c r="E686" s="577"/>
      <c r="F686" s="625"/>
      <c r="G686" s="628"/>
      <c r="H686" s="628"/>
      <c r="I686" s="589"/>
      <c r="J686" s="589"/>
      <c r="K686" s="592"/>
      <c r="L686" s="589"/>
      <c r="M686" s="595"/>
      <c r="N686" s="598"/>
      <c r="O686" s="601"/>
      <c r="P686" s="595"/>
      <c r="Q686" s="604"/>
      <c r="R686" s="601"/>
      <c r="S686" s="287"/>
      <c r="T686" s="604"/>
      <c r="U686" s="142" t="s">
        <v>198</v>
      </c>
      <c r="V686" s="415"/>
      <c r="W686" s="319"/>
      <c r="X686" s="320" t="str">
        <f>IF(W686=[21]Listas!$B$46,[21]Listas!$C$46,IF(W686=[21]Listas!$B$47,[21]Listas!$C$47,IF(W686=[21]Listas!$B$48,[21]Listas!$C$48,"")))</f>
        <v/>
      </c>
      <c r="Y686" s="321" t="str">
        <f>IF(OR(W686=[21]Listas!$F$53,W686=[21]Listas!$F$54),[21]Listas!$G$53,IF(W686=[21]Listas!$F$55,[21]Listas!$G$55,""))</f>
        <v/>
      </c>
      <c r="Z686" s="319"/>
      <c r="AA686" s="182" t="str">
        <f>+IF(Z686=[21]Listas!$E$46,[21]Listas!$F$46,IF(Z686=[21]Listas!$E$47,[21]Listas!$F$47,""))</f>
        <v/>
      </c>
      <c r="AB686" s="183" t="str">
        <f t="shared" si="105"/>
        <v/>
      </c>
      <c r="AC686" s="319"/>
      <c r="AD686" s="322"/>
      <c r="AE686" s="323"/>
      <c r="AF686" s="305" t="str">
        <f t="shared" si="99"/>
        <v>Baja</v>
      </c>
      <c r="AG686" s="145">
        <f>IF(Y686=[21]Listas!$G$53,AG685-(AG685*AB686),AG685)</f>
        <v>0.216</v>
      </c>
      <c r="AH686" s="562"/>
      <c r="AI686" s="305" t="str">
        <f t="shared" si="102"/>
        <v>Menor</v>
      </c>
      <c r="AJ686" s="145">
        <f>IF(Y686=[21]Listas!$G$55,AJ685-(AJ685*AB686),AJ685)</f>
        <v>0.4</v>
      </c>
      <c r="AK686" s="562"/>
      <c r="AL686" s="565"/>
      <c r="AM686" s="565"/>
      <c r="AN686" s="565"/>
      <c r="AO686" s="568"/>
      <c r="AP686" s="571"/>
      <c r="AQ686" s="344"/>
      <c r="AR686" s="191"/>
    </row>
    <row r="687" spans="2:44" ht="16" hidden="1" customHeight="1" thickTop="1" x14ac:dyDescent="0.35">
      <c r="B687" s="537"/>
      <c r="C687" s="559"/>
      <c r="D687" s="574"/>
      <c r="E687" s="577"/>
      <c r="F687" s="625"/>
      <c r="G687" s="628"/>
      <c r="H687" s="628"/>
      <c r="I687" s="589"/>
      <c r="J687" s="589"/>
      <c r="K687" s="592"/>
      <c r="L687" s="589"/>
      <c r="M687" s="595"/>
      <c r="N687" s="598"/>
      <c r="O687" s="601"/>
      <c r="P687" s="595"/>
      <c r="Q687" s="604"/>
      <c r="R687" s="601"/>
      <c r="S687" s="288"/>
      <c r="T687" s="604"/>
      <c r="U687" s="142" t="s">
        <v>208</v>
      </c>
      <c r="V687" s="415"/>
      <c r="W687" s="319"/>
      <c r="X687" s="320" t="str">
        <f>IF(W687=[21]Listas!$B$46,[21]Listas!$C$46,IF(W687=[21]Listas!$B$47,[21]Listas!$C$47,IF(W687=[21]Listas!$B$48,[21]Listas!$C$48,"")))</f>
        <v/>
      </c>
      <c r="Y687" s="321" t="str">
        <f>IF(OR(W687=[21]Listas!$F$53,W687=[21]Listas!$F$54),[21]Listas!$G$53,IF(W687=[21]Listas!$F$55,[21]Listas!$G$55,""))</f>
        <v/>
      </c>
      <c r="Z687" s="319"/>
      <c r="AA687" s="182" t="str">
        <f>+IF(Z687=[21]Listas!$E$46,[21]Listas!$F$46,IF(Z687=[21]Listas!$E$47,[21]Listas!$F$47,""))</f>
        <v/>
      </c>
      <c r="AB687" s="183" t="str">
        <f t="shared" si="105"/>
        <v/>
      </c>
      <c r="AC687" s="319"/>
      <c r="AD687" s="322"/>
      <c r="AE687" s="323"/>
      <c r="AF687" s="305" t="str">
        <f t="shared" si="99"/>
        <v>Baja</v>
      </c>
      <c r="AG687" s="145">
        <f>IF(Y687=[21]Listas!$G$53,AG686-(AG686*AB687),AG686)</f>
        <v>0.216</v>
      </c>
      <c r="AH687" s="562"/>
      <c r="AI687" s="305" t="str">
        <f t="shared" si="102"/>
        <v>Menor</v>
      </c>
      <c r="AJ687" s="145">
        <f>IF(Y687=[21]Listas!$G$55,AJ686-(AJ686*AB687),AJ686)</f>
        <v>0.4</v>
      </c>
      <c r="AK687" s="562"/>
      <c r="AL687" s="565"/>
      <c r="AM687" s="565"/>
      <c r="AN687" s="565"/>
      <c r="AO687" s="568"/>
      <c r="AP687" s="571"/>
      <c r="AQ687" s="344"/>
      <c r="AR687" s="191"/>
    </row>
    <row r="688" spans="2:44" ht="15.65" hidden="1" customHeight="1" thickTop="1" x14ac:dyDescent="0.35">
      <c r="B688" s="537"/>
      <c r="C688" s="559"/>
      <c r="D688" s="574"/>
      <c r="E688" s="577"/>
      <c r="F688" s="625"/>
      <c r="G688" s="628"/>
      <c r="H688" s="628"/>
      <c r="I688" s="589"/>
      <c r="J688" s="589"/>
      <c r="K688" s="592"/>
      <c r="L688" s="589"/>
      <c r="M688" s="595"/>
      <c r="N688" s="598"/>
      <c r="O688" s="601"/>
      <c r="P688" s="595"/>
      <c r="Q688" s="604"/>
      <c r="R688" s="601"/>
      <c r="S688" s="289"/>
      <c r="T688" s="604"/>
      <c r="U688" s="142" t="s">
        <v>215</v>
      </c>
      <c r="V688" s="418"/>
      <c r="W688" s="331"/>
      <c r="X688" s="320" t="str">
        <f>IF(W688=[21]Listas!$B$46,[21]Listas!$C$46,IF(W688=[21]Listas!$B$47,[21]Listas!$C$47,IF(W688=[21]Listas!$B$48,[21]Listas!$C$48,"")))</f>
        <v/>
      </c>
      <c r="Y688" s="321" t="str">
        <f>IF(OR(W688=[21]Listas!$F$53,W688=[21]Listas!$F$54),[21]Listas!$G$53,IF(W688=[21]Listas!$F$55,[21]Listas!$G$55,""))</f>
        <v/>
      </c>
      <c r="Z688" s="331"/>
      <c r="AA688" s="182" t="str">
        <f>+IF(Z688=[21]Listas!$E$46,[21]Listas!$F$46,IF(Z688=[21]Listas!$E$47,[21]Listas!$F$47,""))</f>
        <v/>
      </c>
      <c r="AB688" s="183" t="str">
        <f t="shared" si="105"/>
        <v/>
      </c>
      <c r="AC688" s="319"/>
      <c r="AD688" s="322"/>
      <c r="AE688" s="323"/>
      <c r="AF688" s="305" t="str">
        <f t="shared" si="99"/>
        <v>Baja</v>
      </c>
      <c r="AG688" s="145">
        <f>IF(Y688=[21]Listas!$G$53,AG687-(AG687*AB688),AG687)</f>
        <v>0.216</v>
      </c>
      <c r="AH688" s="562"/>
      <c r="AI688" s="305" t="str">
        <f t="shared" si="102"/>
        <v>Menor</v>
      </c>
      <c r="AJ688" s="145">
        <f>IF(Y688=[21]Listas!$G$55,AJ687-(AJ687*AB688),AJ687)</f>
        <v>0.4</v>
      </c>
      <c r="AK688" s="562"/>
      <c r="AL688" s="565"/>
      <c r="AM688" s="565"/>
      <c r="AN688" s="565"/>
      <c r="AO688" s="568"/>
      <c r="AP688" s="571"/>
      <c r="AQ688" s="344"/>
      <c r="AR688" s="191"/>
    </row>
    <row r="689" spans="2:44" ht="15.65" hidden="1" customHeight="1" thickTop="1" x14ac:dyDescent="0.35">
      <c r="B689" s="537"/>
      <c r="C689" s="559"/>
      <c r="D689" s="574"/>
      <c r="E689" s="577"/>
      <c r="F689" s="625"/>
      <c r="G689" s="628"/>
      <c r="H689" s="628"/>
      <c r="I689" s="589"/>
      <c r="J689" s="589"/>
      <c r="K689" s="592"/>
      <c r="L689" s="589"/>
      <c r="M689" s="595"/>
      <c r="N689" s="598"/>
      <c r="O689" s="601"/>
      <c r="P689" s="595"/>
      <c r="Q689" s="604"/>
      <c r="R689" s="601"/>
      <c r="S689" s="289"/>
      <c r="T689" s="604"/>
      <c r="U689" s="142" t="s">
        <v>220</v>
      </c>
      <c r="V689" s="418"/>
      <c r="W689" s="331"/>
      <c r="X689" s="320" t="str">
        <f>IF(W689=[21]Listas!$B$46,[21]Listas!$C$46,IF(W689=[21]Listas!$B$47,[21]Listas!$C$47,IF(W689=[21]Listas!$B$48,[21]Listas!$C$48,"")))</f>
        <v/>
      </c>
      <c r="Y689" s="321" t="str">
        <f>IF(OR(W689=[21]Listas!$F$53,W689=[21]Listas!$F$54),[21]Listas!$G$53,IF(W689=[21]Listas!$F$55,[21]Listas!$G$55,""))</f>
        <v/>
      </c>
      <c r="Z689" s="331"/>
      <c r="AA689" s="182" t="str">
        <f>+IF(Z689=[21]Listas!$E$46,[21]Listas!$F$46,IF(Z689=[21]Listas!$E$47,[21]Listas!$F$47,""))</f>
        <v/>
      </c>
      <c r="AB689" s="183" t="str">
        <f t="shared" si="105"/>
        <v/>
      </c>
      <c r="AC689" s="319"/>
      <c r="AD689" s="322"/>
      <c r="AE689" s="323"/>
      <c r="AF689" s="305" t="str">
        <f t="shared" si="99"/>
        <v>Baja</v>
      </c>
      <c r="AG689" s="145">
        <f>IF(Y689=[21]Listas!$G$53,AG688-(AG688*AB689),AG688)</f>
        <v>0.216</v>
      </c>
      <c r="AH689" s="562"/>
      <c r="AI689" s="305" t="str">
        <f t="shared" si="102"/>
        <v>Menor</v>
      </c>
      <c r="AJ689" s="145">
        <f>IF(Y689=[21]Listas!$G$55,AJ688-(AJ688*AB689),AJ688)</f>
        <v>0.4</v>
      </c>
      <c r="AK689" s="562"/>
      <c r="AL689" s="565"/>
      <c r="AM689" s="565"/>
      <c r="AN689" s="565"/>
      <c r="AO689" s="568"/>
      <c r="AP689" s="571"/>
      <c r="AQ689" s="344"/>
      <c r="AR689" s="191"/>
    </row>
    <row r="690" spans="2:44" ht="15.65" hidden="1" customHeight="1" thickTop="1" x14ac:dyDescent="0.35">
      <c r="B690" s="537"/>
      <c r="C690" s="559"/>
      <c r="D690" s="574"/>
      <c r="E690" s="577"/>
      <c r="F690" s="625"/>
      <c r="G690" s="628"/>
      <c r="H690" s="628"/>
      <c r="I690" s="589"/>
      <c r="J690" s="589"/>
      <c r="K690" s="592"/>
      <c r="L690" s="589"/>
      <c r="M690" s="595"/>
      <c r="N690" s="598"/>
      <c r="O690" s="601"/>
      <c r="P690" s="595"/>
      <c r="Q690" s="604"/>
      <c r="R690" s="601"/>
      <c r="S690" s="289"/>
      <c r="T690" s="604"/>
      <c r="U690" s="142" t="s">
        <v>223</v>
      </c>
      <c r="V690" s="418"/>
      <c r="W690" s="331"/>
      <c r="X690" s="320" t="str">
        <f>IF(W690=[21]Listas!$B$46,[21]Listas!$C$46,IF(W690=[21]Listas!$B$47,[21]Listas!$C$47,IF(W690=[21]Listas!$B$48,[21]Listas!$C$48,"")))</f>
        <v/>
      </c>
      <c r="Y690" s="321" t="str">
        <f>IF(OR(W690=[21]Listas!$F$53,W690=[21]Listas!$F$54),[21]Listas!$G$53,IF(W690=[21]Listas!$F$55,[21]Listas!$G$55,""))</f>
        <v/>
      </c>
      <c r="Z690" s="331"/>
      <c r="AA690" s="182" t="str">
        <f>+IF(Z690=[21]Listas!$E$46,[21]Listas!$F$46,IF(Z690=[21]Listas!$E$47,[21]Listas!$F$47,""))</f>
        <v/>
      </c>
      <c r="AB690" s="183" t="str">
        <f t="shared" si="105"/>
        <v/>
      </c>
      <c r="AC690" s="319"/>
      <c r="AD690" s="322"/>
      <c r="AE690" s="323"/>
      <c r="AF690" s="305" t="str">
        <f t="shared" si="99"/>
        <v>Baja</v>
      </c>
      <c r="AG690" s="145">
        <f>IF(Y690=[21]Listas!$G$53,AG689-(AG689*AB690),AG689)</f>
        <v>0.216</v>
      </c>
      <c r="AH690" s="562"/>
      <c r="AI690" s="305" t="str">
        <f t="shared" si="102"/>
        <v>Menor</v>
      </c>
      <c r="AJ690" s="145">
        <f>IF(Y690=[21]Listas!$G$55,AJ689-(AJ689*AB690),AJ689)</f>
        <v>0.4</v>
      </c>
      <c r="AK690" s="562"/>
      <c r="AL690" s="565"/>
      <c r="AM690" s="565"/>
      <c r="AN690" s="565"/>
      <c r="AO690" s="568"/>
      <c r="AP690" s="571"/>
      <c r="AQ690" s="344"/>
      <c r="AR690" s="191"/>
    </row>
    <row r="691" spans="2:44" ht="16" hidden="1" customHeight="1" thickTop="1" x14ac:dyDescent="0.35">
      <c r="B691" s="537"/>
      <c r="C691" s="559"/>
      <c r="D691" s="575"/>
      <c r="E691" s="578"/>
      <c r="F691" s="626"/>
      <c r="G691" s="629"/>
      <c r="H691" s="629"/>
      <c r="I691" s="590"/>
      <c r="J691" s="590"/>
      <c r="K691" s="593"/>
      <c r="L691" s="590"/>
      <c r="M691" s="596"/>
      <c r="N691" s="599"/>
      <c r="O691" s="602"/>
      <c r="P691" s="596"/>
      <c r="Q691" s="605"/>
      <c r="R691" s="602"/>
      <c r="S691" s="293"/>
      <c r="T691" s="605"/>
      <c r="U691" s="202" t="s">
        <v>224</v>
      </c>
      <c r="V691" s="416"/>
      <c r="W691" s="335"/>
      <c r="X691" s="336" t="str">
        <f>IF(W691=[21]Listas!$B$46,[21]Listas!$C$46,IF(W691=[21]Listas!$B$47,[21]Listas!$C$47,IF(W691=[21]Listas!$B$48,[21]Listas!$C$48,"")))</f>
        <v/>
      </c>
      <c r="Y691" s="337" t="str">
        <f>IF(OR(W691=[21]Listas!$F$53,W691=[21]Listas!$F$54),[21]Listas!$G$53,IF(W691=[21]Listas!$F$55,[21]Listas!$G$55,""))</f>
        <v/>
      </c>
      <c r="Z691" s="335"/>
      <c r="AA691" s="186" t="str">
        <f>+IF(Z691=[21]Listas!$E$46,[21]Listas!$F$46,IF(Z691=[21]Listas!$E$47,[21]Listas!$F$47,""))</f>
        <v/>
      </c>
      <c r="AB691" s="187" t="str">
        <f t="shared" si="105"/>
        <v/>
      </c>
      <c r="AC691" s="338"/>
      <c r="AD691" s="339"/>
      <c r="AE691" s="340"/>
      <c r="AF691" s="311" t="str">
        <f t="shared" si="99"/>
        <v>Baja</v>
      </c>
      <c r="AG691" s="179">
        <f>IF(Y691=[21]Listas!$G$53,AG690-(AG690*AB691),AG690)</f>
        <v>0.216</v>
      </c>
      <c r="AH691" s="563"/>
      <c r="AI691" s="311" t="str">
        <f t="shared" si="102"/>
        <v>Menor</v>
      </c>
      <c r="AJ691" s="179">
        <f>IF(Y691=[21]Listas!$G$55,AJ690-(AJ690*AB691),AJ690)</f>
        <v>0.4</v>
      </c>
      <c r="AK691" s="563"/>
      <c r="AL691" s="566"/>
      <c r="AM691" s="566"/>
      <c r="AN691" s="566"/>
      <c r="AO691" s="569"/>
      <c r="AP691" s="572"/>
      <c r="AQ691" s="346"/>
      <c r="AR691" s="192"/>
    </row>
    <row r="692" spans="2:44" ht="117" customHeight="1" thickTop="1" thickBot="1" x14ac:dyDescent="0.4">
      <c r="B692" s="537"/>
      <c r="C692" s="559"/>
      <c r="D692" s="573" t="s">
        <v>822</v>
      </c>
      <c r="E692" s="576" t="s">
        <v>7</v>
      </c>
      <c r="F692" s="624" t="s">
        <v>823</v>
      </c>
      <c r="G692" s="671" t="s">
        <v>824</v>
      </c>
      <c r="H692" s="671" t="s">
        <v>825</v>
      </c>
      <c r="I692" s="588" t="s">
        <v>20</v>
      </c>
      <c r="J692" s="588" t="s">
        <v>34</v>
      </c>
      <c r="K692" s="591" t="s">
        <v>807</v>
      </c>
      <c r="L692" s="588" t="s">
        <v>168</v>
      </c>
      <c r="M692" s="594" t="s">
        <v>207</v>
      </c>
      <c r="N692" s="597" t="str">
        <f>+IF(M692="","",IF(M692=$BO$15,$BN$15,IF(M692=$BO$16,$BN$16,IF(M692=$BO$17,$BN$17,IF(M692=$BO$18,$BN$18,IF(M692=$BO$19,$BN$19))))))</f>
        <v>Baja</v>
      </c>
      <c r="O692" s="600">
        <f>+IF(M692="","",IF(M692=$BO$15,$BR$15,IF(M692=$BO$16,$BR$16,IF(M692=$BO$17,$BR$17,IF(M692=$BO$18,$BR$18,IF(M692=$BO$19,$BR$19))))))</f>
        <v>0.4</v>
      </c>
      <c r="P692" s="594" t="s">
        <v>211</v>
      </c>
      <c r="Q692" s="603" t="str">
        <f>+IF(P692="","",IF(P692='[21]Mapa de Calor inherente'!$AF$6,'[21]Mapa de Calor inherente'!$AD$6,IF(P692='[21]Mapa de Calor inherente'!$AF$7,'[21]Mapa de Calor inherente'!$AD$7,IF(P692='[21]Mapa de Calor inherente'!$AF$8,'[21]Mapa de Calor inherente'!$AD$8,IF(P692='[21]Mapa de Calor inherente'!$AF$9,'[21]Mapa de Calor inherente'!$AD$9,IF(P692='[21]Mapa de Calor inherente'!$AF$10,'[21]Mapa de Calor inherente'!$AD$10,IF(P692='[21]Mapa de Calor inherente'!$AG$6,'[21]Mapa de Calor inherente'!$AD$6,IF(P692='[21]Mapa de Calor inherente'!$AG$7,'[21]Mapa de Calor inherente'!$AD$7,IF(P692='[21]Mapa de Calor inherente'!$AG$8,'[21]Mapa de Calor inherente'!$AD$8,IF(P692='[21]Mapa de Calor inherente'!$AG$9,'[21]Mapa de Calor inherente'!$AD$9,IF(P692='[21]Mapa de Calor inherente'!$AG$10,'[21]Mapa de Calor inherente'!$AD$10,IF(P692='[21]Mapa de Calor inherente'!$AD$8,'[21]Mapa de Calor inherente'!$AD$8,IF(P692='[21]Mapa de Calor inherente'!$AD$9,'[21]Mapa de Calor inherente'!$AD$9,IF(P692='[21]Mapa de Calor inherente'!$AD$10,'[21]Mapa de Calor inherente'!$AD$10))))))))))))))</f>
        <v>Moderado</v>
      </c>
      <c r="R692" s="600">
        <f>+IF(P692="","",IF(P692='[21]Mapa de Calor inherente'!$AF$6,'[21]Mapa de Calor inherente'!$AE$6,IF(P692='[21]Mapa de Calor inherente'!$AF$7,'[21]Mapa de Calor inherente'!$AE$7,IF(P692='[21]Mapa de Calor inherente'!$AF$8,'[21]Mapa de Calor inherente'!$AE$8,IF(P692='[21]Mapa de Calor inherente'!$AF$9,'[21]Mapa de Calor inherente'!$AE$9,IF(P692='[21]Mapa de Calor inherente'!$AF$10,'[21]Mapa de Calor inherente'!$AE$10,IF(P692='[21]Mapa de Calor inherente'!$AG$6,'[21]Mapa de Calor inherente'!$AE$6,IF(P692='[21]Mapa de Calor inherente'!$AG$7,'[21]Mapa de Calor inherente'!$AE$7,IF(P692='[21]Mapa de Calor inherente'!$AG$8,'[21]Mapa de Calor inherente'!$AE$8,IF(P692='[21]Mapa de Calor inherente'!$AG$9,'[21]Mapa de Calor inherente'!$AE$9,IF(P692='[21]Mapa de Calor inherente'!$AG$10,'[21]Mapa de Calor inherente'!$AE$10,IF(P692='[21]Mapa de Calor inherente'!$AD$8,'[21]Mapa de Calor inherente'!$AE$8,IF(P692='[21]Mapa de Calor inherente'!$AD$9,'[21]Mapa de Calor inherente'!$AE$9,IF(P692='[21]Mapa de Calor inherente'!$AD$10,'[21]Mapa de Calor inherente'!$AE$10))))))))))))))</f>
        <v>0.6</v>
      </c>
      <c r="S692" s="292" t="e">
        <f>IF(N692="","",IF(R692="","",(N692*R692)))</f>
        <v>#VALUE!</v>
      </c>
      <c r="T692" s="603" t="str">
        <f>+IF(N692=$BB$17,IF(Q692=$BC$16,$BC$17,IF(Q692=$BD$16,$BD$17,IF(Q692=$BE$16,$BE$17,IF(Q692=$BF$16,$BF$17,IF(Q692=$BG$16,$BG$17))))),IF(N692=$BB$18,IF(Q692=$BC$16,$BC$18,IF(Q692=$BD$16,$BD$18,IF(Q692=$BE$16,$BE$18,IF(Q692=$BF$16,$BF$18,IF(Q692=$BG$16,$BG$18))))),IF(N692=$BB$19,IF(Q692=$BC$16,$BC$19,IF(Q692=$BD$16,$BD$19,IF(Q692=$BE$16,$BE$19,IF(Q692=$BF$16,$BF$19,IF(Q692=$BG$16,$BG$19))))),IF(N692=$BB$20,IF(Q692=$BC$16,$BC$20,IF(Q692=$BD$16,$BD$20,IF(Q692=$BE$16,$BE$20,IF(Q692=$BF$16,$BF$20,IF(Q692=$BG$16,$BG$20))))),IF(N692=$BB$21,IF(Q692=$BC$16,$BC$21,IF(Q692=$BD$16,$BD$21,IF(Q692=$BE$16,$BE$21,IF(Q692=$BF$16,$BF$21,IF(Q692=$BG$16,$BG$21))))),"")))))</f>
        <v>Moderado</v>
      </c>
      <c r="U692" s="139" t="s">
        <v>171</v>
      </c>
      <c r="V692" s="436" t="s">
        <v>826</v>
      </c>
      <c r="W692" s="313" t="s">
        <v>40</v>
      </c>
      <c r="X692" s="314">
        <f>IF(W692=[21]Listas!$B$46,[21]Listas!$C$46,IF(W692=[21]Listas!$B$47,[21]Listas!$C$47,IF(W692=[21]Listas!$B$48,[21]Listas!$C$48,"")))</f>
        <v>0.25</v>
      </c>
      <c r="Y692" s="315" t="str">
        <f>IF(OR(W692=[21]Listas!$F$53,W692=[21]Listas!$F$54),[21]Listas!$G$53,IF(W692=[21]Listas!$F$55,[21]Listas!$G$55,""))</f>
        <v>Probabilidad</v>
      </c>
      <c r="Z692" s="313" t="s">
        <v>43</v>
      </c>
      <c r="AA692" s="314">
        <f>+IF(Z692=[21]Listas!$E$46,[21]Listas!$F$46,IF(Z692=[21]Listas!$E$47,[21]Listas!$F$47,""))</f>
        <v>0.15</v>
      </c>
      <c r="AB692" s="181">
        <f>IFERROR(X692+AA692,"")</f>
        <v>0.4</v>
      </c>
      <c r="AC692" s="313" t="s">
        <v>57</v>
      </c>
      <c r="AD692" s="316" t="s">
        <v>58</v>
      </c>
      <c r="AE692" s="317" t="s">
        <v>59</v>
      </c>
      <c r="AF692" s="299" t="str">
        <f t="shared" si="99"/>
        <v>Baja</v>
      </c>
      <c r="AG692" s="141">
        <f>IF(Y692=[21]Listas!$G$53,O692-(O692*AB692),O692)</f>
        <v>0.24</v>
      </c>
      <c r="AH692" s="561">
        <f>+IF(AG701="","",AG701)</f>
        <v>0.14399999999999999</v>
      </c>
      <c r="AI692" s="299" t="str">
        <f>IF(AJ692="","",IF(AJ692&lt;=20%,"Leve",IF(AJ692&lt;=40%,"Menor",IF(AJ692&lt;=60%,"Moderado",IF(AJ692&lt;=80%,"Mayor","Catastrófico")))))</f>
        <v>Moderado</v>
      </c>
      <c r="AJ692" s="141">
        <f>IF(Y692=[21]Listas!$G$55,R692-(R692*AB692),R692)</f>
        <v>0.6</v>
      </c>
      <c r="AK692" s="561">
        <f>+IF(AJ701="","",AJ701)</f>
        <v>0.6</v>
      </c>
      <c r="AL692" s="564" t="str">
        <f>+IF(AH692=0,"",IF(AH692&lt;=$BA$21,$BB$21,IF(AH692&lt;=$BA$20,$BB$20,IF(AH692&lt;=$BA$19,$BB$19,IF(AH692&lt;=$BA$18,$BB$18,IF(AH692&lt;=$BA$17,$BB$17,""))))))</f>
        <v>Muy Baja</v>
      </c>
      <c r="AM692" s="564" t="str">
        <f>+IF(AK692=0,"",IF(AK692&lt;=$BC$15,$BC$16,IF(AK692&lt;=$BD$15,$BD$16,IF(AK692&lt;=$BE$15,$BE$16,IF(AK692&lt;=$BF$15,$BF$16,IF(AK692&lt;=$BG$15,$BG$16,""))))))</f>
        <v>Moderado</v>
      </c>
      <c r="AN692" s="564" t="str">
        <f>IF(AL692=$BB$17,IF(AM692=$BC$16,$BC$17,IF(AM692=$BD$16,$BD$17,IF(AM692=$BE$16,$BE$17,IF(AM692=$BF$16,$BF$17,IF(AM692=$BG$16,$BG$17))))),IF(AL692=$BB$18,IF(AM692=$BC$16,$BC$18,IF(AM692=$BD$16,$BD$18,IF(AM692=$BE$16,$BE$18,IF(AM692=$BF$16,$BF$18,IF(AM692=$BG$16,$BG$18))))),IF(AL692=$BB$19,IF(AM692=$BC$16,$BC$19,IF(AM692=$BD$16,$BD$19,IF(AM692=$BE$16,$BE$19,IF(AM692=$BF$16,$BF$19,IF(AM692=$BG$16,$BG$19))))),IF(AL692=$BB$20,IF(AM692=$BC$16,$BC$20,IF(AM692=$BD$16,$BD$20,IF(AM692=$BE$16,$BE$20,IF(AM692=$BF$16,$BF$20,IF(AM692=$BG$16,$BG$20))))),IF(AL692=$BB$21,IF(AM692=$BC$16,$BC$21,IF(AM692=$BD$16,$BD$21,IF(AM692=$BE$16,$BE$21,IF(AM692=$BF$16,$BF$21,IF(AM692=$BG$16,$BG$21))))),"")))))</f>
        <v>Moderado</v>
      </c>
      <c r="AO692" s="567" t="str">
        <f>IF(AP692="","",IF(AP692=[21]Listas!$F$61,[21]Listas!$G$61,IF(AP692=[21]Listas!$F$63,[21]Listas!$G$63,IF(AP692=[21]Listas!$F$64,[21]Listas!$G$64))))</f>
        <v>Requiere Plan de Acción</v>
      </c>
      <c r="AP692" s="570" t="str">
        <f>IF(AN692="","",IF(OR(AN692=[21]Listas!$E$61,AN692=[21]Listas!$E$62),[21]Listas!$F$61,IF(AN692=[21]Listas!$E$63,[21]Listas!$F$63,IF(AN692=[21]Listas!$E$64,[21]Listas!$F$64))))</f>
        <v>Aceptar o reducir el riesgo</v>
      </c>
      <c r="AQ692" s="358" t="s">
        <v>80</v>
      </c>
      <c r="AR692" s="260" t="s">
        <v>827</v>
      </c>
    </row>
    <row r="693" spans="2:44" ht="127" customHeight="1" thickTop="1" thickBot="1" x14ac:dyDescent="0.4">
      <c r="B693" s="537"/>
      <c r="C693" s="559"/>
      <c r="D693" s="574"/>
      <c r="E693" s="577"/>
      <c r="F693" s="625"/>
      <c r="G693" s="672"/>
      <c r="H693" s="672"/>
      <c r="I693" s="589"/>
      <c r="J693" s="589"/>
      <c r="K693" s="592"/>
      <c r="L693" s="589"/>
      <c r="M693" s="595"/>
      <c r="N693" s="598"/>
      <c r="O693" s="601"/>
      <c r="P693" s="595"/>
      <c r="Q693" s="604"/>
      <c r="R693" s="601"/>
      <c r="S693" s="286"/>
      <c r="T693" s="604"/>
      <c r="U693" s="142" t="s">
        <v>174</v>
      </c>
      <c r="V693" s="503" t="s">
        <v>828</v>
      </c>
      <c r="W693" s="331" t="s">
        <v>40</v>
      </c>
      <c r="X693" s="320">
        <f>IF(W693=[21]Listas!$B$46,[21]Listas!$C$46,IF(W693=[21]Listas!$B$47,[21]Listas!$C$47,IF(W693=[21]Listas!$B$48,[21]Listas!$C$48,"")))</f>
        <v>0.25</v>
      </c>
      <c r="Y693" s="321" t="str">
        <f>IF(OR(W693=[21]Listas!$F$53,W693=[21]Listas!$F$54),[21]Listas!$G$53,IF(W693=[21]Listas!$F$55,[21]Listas!$G$55,""))</f>
        <v>Probabilidad</v>
      </c>
      <c r="Z693" s="319" t="s">
        <v>43</v>
      </c>
      <c r="AA693" s="182">
        <f>+IF(Z693=[21]Listas!$E$46,[21]Listas!$F$46,IF(Z693=[21]Listas!$E$47,[21]Listas!$F$47,""))</f>
        <v>0.15</v>
      </c>
      <c r="AB693" s="183">
        <f>IFERROR(X693+AA693,"")</f>
        <v>0.4</v>
      </c>
      <c r="AC693" s="319" t="s">
        <v>57</v>
      </c>
      <c r="AD693" s="322" t="s">
        <v>58</v>
      </c>
      <c r="AE693" s="323" t="s">
        <v>59</v>
      </c>
      <c r="AF693" s="305" t="str">
        <f t="shared" si="99"/>
        <v>Muy baja</v>
      </c>
      <c r="AG693" s="145">
        <f>IF(Y693=[21]Listas!$G$53,AG692-(AG692*AB693),AG692)</f>
        <v>0.14399999999999999</v>
      </c>
      <c r="AH693" s="562"/>
      <c r="AI693" s="305" t="str">
        <f t="shared" si="102"/>
        <v>Moderado</v>
      </c>
      <c r="AJ693" s="145">
        <f>IF(Y693=[21]Listas!$G$55,AJ692-(AJ692*AB693),AJ692)</f>
        <v>0.6</v>
      </c>
      <c r="AK693" s="562"/>
      <c r="AL693" s="565"/>
      <c r="AM693" s="565"/>
      <c r="AN693" s="565"/>
      <c r="AO693" s="568"/>
      <c r="AP693" s="571"/>
      <c r="AQ693" s="343" t="s">
        <v>80</v>
      </c>
      <c r="AR693" s="261" t="s">
        <v>829</v>
      </c>
    </row>
    <row r="694" spans="2:44" ht="99" thickTop="1" thickBot="1" x14ac:dyDescent="0.4">
      <c r="B694" s="537"/>
      <c r="C694" s="559"/>
      <c r="D694" s="574"/>
      <c r="E694" s="577"/>
      <c r="F694" s="625"/>
      <c r="G694" s="672"/>
      <c r="H694" s="672"/>
      <c r="I694" s="589"/>
      <c r="J694" s="589"/>
      <c r="K694" s="592"/>
      <c r="L694" s="589"/>
      <c r="M694" s="595"/>
      <c r="N694" s="598"/>
      <c r="O694" s="601"/>
      <c r="P694" s="595"/>
      <c r="Q694" s="604"/>
      <c r="R694" s="601"/>
      <c r="S694" s="287"/>
      <c r="T694" s="604"/>
      <c r="U694" s="142" t="s">
        <v>180</v>
      </c>
      <c r="V694" s="415"/>
      <c r="W694" s="331"/>
      <c r="X694" s="320" t="str">
        <f>IF(W694=[21]Listas!$B$46,[21]Listas!$C$46,IF(W694=[21]Listas!$B$47,[21]Listas!$C$47,IF(W694=[21]Listas!$B$48,[21]Listas!$C$48,"")))</f>
        <v/>
      </c>
      <c r="Y694" s="321" t="str">
        <f>IF(OR(W694=[21]Listas!$F$53,W694=[21]Listas!$F$54),[21]Listas!$G$53,IF(W694=[21]Listas!$F$55,[21]Listas!$G$55,""))</f>
        <v/>
      </c>
      <c r="Z694" s="319"/>
      <c r="AA694" s="182" t="str">
        <f>+IF(Z694=[21]Listas!$E$46,[21]Listas!$F$46,IF(Z694=[21]Listas!$E$47,[21]Listas!$F$47,""))</f>
        <v/>
      </c>
      <c r="AB694" s="183" t="str">
        <f>IFERROR(X694+AA694,"")</f>
        <v/>
      </c>
      <c r="AC694" s="325"/>
      <c r="AD694" s="326"/>
      <c r="AE694" s="327"/>
      <c r="AF694" s="305" t="str">
        <f t="shared" si="99"/>
        <v>Muy baja</v>
      </c>
      <c r="AG694" s="145">
        <f>IF(Y694=[21]Listas!$G$53,AG693-(AG693*AB694),AG693)</f>
        <v>0.14399999999999999</v>
      </c>
      <c r="AH694" s="562"/>
      <c r="AI694" s="305" t="str">
        <f t="shared" si="102"/>
        <v>Moderado</v>
      </c>
      <c r="AJ694" s="145">
        <f>IF(Y694=[21]Listas!$G$55,AJ693-(AJ693*AB694),AJ693)</f>
        <v>0.6</v>
      </c>
      <c r="AK694" s="562"/>
      <c r="AL694" s="565"/>
      <c r="AM694" s="565"/>
      <c r="AN694" s="565"/>
      <c r="AO694" s="568"/>
      <c r="AP694" s="571"/>
      <c r="AQ694" s="343" t="s">
        <v>90</v>
      </c>
      <c r="AR694" s="264" t="s">
        <v>830</v>
      </c>
    </row>
    <row r="695" spans="2:44" ht="15" hidden="1" customHeight="1" x14ac:dyDescent="0.35">
      <c r="B695" s="537"/>
      <c r="C695" s="559"/>
      <c r="D695" s="574"/>
      <c r="E695" s="577"/>
      <c r="F695" s="625"/>
      <c r="G695" s="672"/>
      <c r="H695" s="672"/>
      <c r="I695" s="589"/>
      <c r="J695" s="589"/>
      <c r="K695" s="592"/>
      <c r="L695" s="589"/>
      <c r="M695" s="595"/>
      <c r="N695" s="598"/>
      <c r="O695" s="601"/>
      <c r="P695" s="595"/>
      <c r="Q695" s="604"/>
      <c r="R695" s="601"/>
      <c r="S695" s="287"/>
      <c r="T695" s="604"/>
      <c r="U695" s="142" t="s">
        <v>190</v>
      </c>
      <c r="V695" s="415"/>
      <c r="W695" s="331"/>
      <c r="X695" s="320" t="str">
        <f>IF(W695=[21]Listas!$B$46,[21]Listas!$C$46,IF(W695=[21]Listas!$B$47,[21]Listas!$C$47,IF(W695=[21]Listas!$B$48,[21]Listas!$C$48,"")))</f>
        <v/>
      </c>
      <c r="Y695" s="321" t="str">
        <f>IF(OR(W695=[21]Listas!$F$53,W695=[21]Listas!$F$54),[21]Listas!$G$53,IF(W695=[21]Listas!$F$55,[21]Listas!$G$55,""))</f>
        <v/>
      </c>
      <c r="Z695" s="319"/>
      <c r="AA695" s="182" t="str">
        <f>+IF(Z695=[21]Listas!$E$46,[21]Listas!$F$46,IF(Z695=[21]Listas!$E$47,[21]Listas!$F$47,""))</f>
        <v/>
      </c>
      <c r="AB695" s="183" t="str">
        <f t="shared" ref="AB695:AB701" si="106">IFERROR(X695+AA695,"")</f>
        <v/>
      </c>
      <c r="AC695" s="328"/>
      <c r="AD695" s="329"/>
      <c r="AE695" s="330"/>
      <c r="AF695" s="305" t="str">
        <f t="shared" si="99"/>
        <v>Muy baja</v>
      </c>
      <c r="AG695" s="145">
        <f>IF(Y695=[21]Listas!$G$53,AG694-(AG694*AB695),AG694)</f>
        <v>0.14399999999999999</v>
      </c>
      <c r="AH695" s="562"/>
      <c r="AI695" s="305" t="str">
        <f t="shared" si="102"/>
        <v>Moderado</v>
      </c>
      <c r="AJ695" s="145">
        <f>IF(Y695=[21]Listas!$G$55,AJ694-(AJ694*AB695),AJ694)</f>
        <v>0.6</v>
      </c>
      <c r="AK695" s="562"/>
      <c r="AL695" s="565"/>
      <c r="AM695" s="565"/>
      <c r="AN695" s="565"/>
      <c r="AO695" s="568"/>
      <c r="AP695" s="571"/>
      <c r="AQ695" s="343"/>
      <c r="AR695" s="199"/>
    </row>
    <row r="696" spans="2:44" ht="15" hidden="1" customHeight="1" thickTop="1" x14ac:dyDescent="0.35">
      <c r="B696" s="537"/>
      <c r="C696" s="559"/>
      <c r="D696" s="574"/>
      <c r="E696" s="577"/>
      <c r="F696" s="625"/>
      <c r="G696" s="672"/>
      <c r="H696" s="672"/>
      <c r="I696" s="589"/>
      <c r="J696" s="589"/>
      <c r="K696" s="592"/>
      <c r="L696" s="589"/>
      <c r="M696" s="595"/>
      <c r="N696" s="598"/>
      <c r="O696" s="601"/>
      <c r="P696" s="595"/>
      <c r="Q696" s="604"/>
      <c r="R696" s="601"/>
      <c r="S696" s="287"/>
      <c r="T696" s="604"/>
      <c r="U696" s="142" t="s">
        <v>198</v>
      </c>
      <c r="V696" s="415"/>
      <c r="W696" s="331"/>
      <c r="X696" s="320" t="str">
        <f>IF(W696=[21]Listas!$B$46,[21]Listas!$C$46,IF(W696=[21]Listas!$B$47,[21]Listas!$C$47,IF(W696=[21]Listas!$B$48,[21]Listas!$C$48,"")))</f>
        <v/>
      </c>
      <c r="Y696" s="321" t="str">
        <f>IF(OR(W696=[21]Listas!$F$53,W696=[21]Listas!$F$54),[21]Listas!$G$53,IF(W696=[21]Listas!$F$55,[21]Listas!$G$55,""))</f>
        <v/>
      </c>
      <c r="Z696" s="319"/>
      <c r="AA696" s="182" t="str">
        <f>+IF(Z696=[21]Listas!$E$46,[21]Listas!$F$46,IF(Z696=[21]Listas!$E$47,[21]Listas!$F$47,""))</f>
        <v/>
      </c>
      <c r="AB696" s="183" t="str">
        <f t="shared" si="106"/>
        <v/>
      </c>
      <c r="AC696" s="319"/>
      <c r="AD696" s="322"/>
      <c r="AE696" s="323"/>
      <c r="AF696" s="305" t="str">
        <f t="shared" si="99"/>
        <v>Muy baja</v>
      </c>
      <c r="AG696" s="145">
        <f>IF(Y696=[21]Listas!$G$53,AG695-(AG695*AB696),AG695)</f>
        <v>0.14399999999999999</v>
      </c>
      <c r="AH696" s="562"/>
      <c r="AI696" s="305" t="str">
        <f t="shared" si="102"/>
        <v>Moderado</v>
      </c>
      <c r="AJ696" s="145">
        <f>IF(Y696=[21]Listas!$G$55,AJ695-(AJ695*AB696),AJ695)</f>
        <v>0.6</v>
      </c>
      <c r="AK696" s="562"/>
      <c r="AL696" s="565"/>
      <c r="AM696" s="565"/>
      <c r="AN696" s="565"/>
      <c r="AO696" s="568"/>
      <c r="AP696" s="571"/>
      <c r="AQ696" s="344"/>
      <c r="AR696" s="191"/>
    </row>
    <row r="697" spans="2:44" ht="15.75" hidden="1" customHeight="1" thickTop="1" x14ac:dyDescent="0.35">
      <c r="B697" s="537"/>
      <c r="C697" s="559"/>
      <c r="D697" s="574"/>
      <c r="E697" s="577"/>
      <c r="F697" s="625"/>
      <c r="G697" s="672"/>
      <c r="H697" s="672"/>
      <c r="I697" s="589"/>
      <c r="J697" s="589"/>
      <c r="K697" s="592"/>
      <c r="L697" s="589"/>
      <c r="M697" s="595"/>
      <c r="N697" s="598"/>
      <c r="O697" s="601"/>
      <c r="P697" s="595"/>
      <c r="Q697" s="604"/>
      <c r="R697" s="601"/>
      <c r="S697" s="288"/>
      <c r="T697" s="604"/>
      <c r="U697" s="142" t="s">
        <v>208</v>
      </c>
      <c r="V697" s="418"/>
      <c r="W697" s="331"/>
      <c r="X697" s="320" t="str">
        <f>IF(W697=[21]Listas!$B$46,[21]Listas!$C$46,IF(W697=[21]Listas!$B$47,[21]Listas!$C$47,IF(W697=[21]Listas!$B$48,[21]Listas!$C$48,"")))</f>
        <v/>
      </c>
      <c r="Y697" s="321" t="str">
        <f>IF(OR(W697=[21]Listas!$F$53,W697=[21]Listas!$F$54),[21]Listas!$G$53,IF(W697=[21]Listas!$F$55,[21]Listas!$G$55,""))</f>
        <v/>
      </c>
      <c r="Z697" s="319"/>
      <c r="AA697" s="182" t="str">
        <f>+IF(Z697=[21]Listas!$E$46,[21]Listas!$F$46,IF(Z697=[21]Listas!$E$47,[21]Listas!$F$47,""))</f>
        <v/>
      </c>
      <c r="AB697" s="183" t="str">
        <f t="shared" si="106"/>
        <v/>
      </c>
      <c r="AC697" s="319"/>
      <c r="AD697" s="322"/>
      <c r="AE697" s="323"/>
      <c r="AF697" s="305" t="str">
        <f t="shared" si="99"/>
        <v>Muy baja</v>
      </c>
      <c r="AG697" s="145">
        <f>IF(Y697=[21]Listas!$G$53,AG696-(AG696*AB697),AG696)</f>
        <v>0.14399999999999999</v>
      </c>
      <c r="AH697" s="562"/>
      <c r="AI697" s="305" t="str">
        <f t="shared" si="102"/>
        <v>Moderado</v>
      </c>
      <c r="AJ697" s="145">
        <f>IF(Y697=[21]Listas!$G$55,AJ696-(AJ696*AB697),AJ696)</f>
        <v>0.6</v>
      </c>
      <c r="AK697" s="562"/>
      <c r="AL697" s="565"/>
      <c r="AM697" s="565"/>
      <c r="AN697" s="565"/>
      <c r="AO697" s="568"/>
      <c r="AP697" s="571"/>
      <c r="AQ697" s="343"/>
      <c r="AR697" s="191"/>
    </row>
    <row r="698" spans="2:44" ht="15" hidden="1" customHeight="1" thickTop="1" x14ac:dyDescent="0.35">
      <c r="B698" s="537"/>
      <c r="C698" s="559"/>
      <c r="D698" s="574"/>
      <c r="E698" s="577"/>
      <c r="F698" s="625"/>
      <c r="G698" s="672"/>
      <c r="H698" s="672"/>
      <c r="I698" s="589"/>
      <c r="J698" s="589"/>
      <c r="K698" s="592"/>
      <c r="L698" s="589"/>
      <c r="M698" s="595"/>
      <c r="N698" s="598"/>
      <c r="O698" s="601"/>
      <c r="P698" s="595"/>
      <c r="Q698" s="604"/>
      <c r="R698" s="601"/>
      <c r="S698" s="289"/>
      <c r="T698" s="604"/>
      <c r="U698" s="142" t="s">
        <v>215</v>
      </c>
      <c r="V698" s="415"/>
      <c r="W698" s="319"/>
      <c r="X698" s="320" t="str">
        <f>IF(W698=[21]Listas!$B$46,[21]Listas!$C$46,IF(W698=[21]Listas!$B$47,[21]Listas!$C$47,IF(W698=[21]Listas!$B$48,[21]Listas!$C$48,"")))</f>
        <v/>
      </c>
      <c r="Y698" s="321" t="str">
        <f>IF(OR(W698=[21]Listas!$F$53,W698=[21]Listas!$F$54),[21]Listas!$G$53,IF(W698=[21]Listas!$F$55,[21]Listas!$G$55,""))</f>
        <v/>
      </c>
      <c r="Z698" s="319"/>
      <c r="AA698" s="182" t="str">
        <f>+IF(Z698=[21]Listas!$E$46,[21]Listas!$F$46,IF(Z698=[21]Listas!$E$47,[21]Listas!$F$47,""))</f>
        <v/>
      </c>
      <c r="AB698" s="183" t="str">
        <f t="shared" si="106"/>
        <v/>
      </c>
      <c r="AC698" s="319"/>
      <c r="AD698" s="322"/>
      <c r="AE698" s="323"/>
      <c r="AF698" s="305" t="str">
        <f t="shared" si="99"/>
        <v>Muy baja</v>
      </c>
      <c r="AG698" s="145">
        <f>IF(Y698=[21]Listas!$G$53,AG697-(AG697*AB698),AG697)</f>
        <v>0.14399999999999999</v>
      </c>
      <c r="AH698" s="562"/>
      <c r="AI698" s="305" t="str">
        <f t="shared" si="102"/>
        <v>Moderado</v>
      </c>
      <c r="AJ698" s="145">
        <f>IF(Y698=[21]Listas!$G$55,AJ697-(AJ697*AB698),AJ697)</f>
        <v>0.6</v>
      </c>
      <c r="AK698" s="562"/>
      <c r="AL698" s="565"/>
      <c r="AM698" s="565"/>
      <c r="AN698" s="565"/>
      <c r="AO698" s="568"/>
      <c r="AP698" s="571"/>
      <c r="AQ698" s="343"/>
      <c r="AR698" s="191"/>
    </row>
    <row r="699" spans="2:44" ht="15" hidden="1" customHeight="1" thickTop="1" x14ac:dyDescent="0.35">
      <c r="B699" s="537"/>
      <c r="C699" s="559"/>
      <c r="D699" s="574"/>
      <c r="E699" s="577"/>
      <c r="F699" s="625"/>
      <c r="G699" s="672"/>
      <c r="H699" s="672"/>
      <c r="I699" s="589"/>
      <c r="J699" s="589"/>
      <c r="K699" s="592"/>
      <c r="L699" s="589"/>
      <c r="M699" s="595"/>
      <c r="N699" s="598"/>
      <c r="O699" s="601"/>
      <c r="P699" s="595"/>
      <c r="Q699" s="604"/>
      <c r="R699" s="601"/>
      <c r="S699" s="289"/>
      <c r="T699" s="604"/>
      <c r="U699" s="142" t="s">
        <v>220</v>
      </c>
      <c r="V699" s="418"/>
      <c r="W699" s="331"/>
      <c r="X699" s="320" t="str">
        <f>IF(W699=[21]Listas!$B$46,[21]Listas!$C$46,IF(W699=[21]Listas!$B$47,[21]Listas!$C$47,IF(W699=[21]Listas!$B$48,[21]Listas!$C$48,"")))</f>
        <v/>
      </c>
      <c r="Y699" s="321" t="str">
        <f>IF(OR(W699=[21]Listas!$F$53,W699=[21]Listas!$F$54),[21]Listas!$G$53,IF(W699=[21]Listas!$F$55,[21]Listas!$G$55,""))</f>
        <v/>
      </c>
      <c r="Z699" s="319"/>
      <c r="AA699" s="182" t="str">
        <f>+IF(Z699=[21]Listas!$E$46,[21]Listas!$F$46,IF(Z699=[21]Listas!$E$47,[21]Listas!$F$47,""))</f>
        <v/>
      </c>
      <c r="AB699" s="183" t="str">
        <f t="shared" si="106"/>
        <v/>
      </c>
      <c r="AC699" s="319"/>
      <c r="AD699" s="322"/>
      <c r="AE699" s="323"/>
      <c r="AF699" s="305" t="str">
        <f t="shared" si="99"/>
        <v>Muy baja</v>
      </c>
      <c r="AG699" s="145">
        <f>IF(Y699=[21]Listas!$G$53,AG698-(AG698*AB699),AG698)</f>
        <v>0.14399999999999999</v>
      </c>
      <c r="AH699" s="562"/>
      <c r="AI699" s="305" t="str">
        <f t="shared" si="102"/>
        <v>Moderado</v>
      </c>
      <c r="AJ699" s="145">
        <f>IF(Y699=[21]Listas!$G$55,AJ698-(AJ698*AB699),AJ698)</f>
        <v>0.6</v>
      </c>
      <c r="AK699" s="562"/>
      <c r="AL699" s="565"/>
      <c r="AM699" s="565"/>
      <c r="AN699" s="565"/>
      <c r="AO699" s="568"/>
      <c r="AP699" s="571"/>
      <c r="AQ699" s="344"/>
      <c r="AR699" s="191"/>
    </row>
    <row r="700" spans="2:44" ht="15" hidden="1" customHeight="1" thickTop="1" x14ac:dyDescent="0.35">
      <c r="B700" s="537"/>
      <c r="C700" s="559"/>
      <c r="D700" s="574"/>
      <c r="E700" s="577"/>
      <c r="F700" s="625"/>
      <c r="G700" s="672"/>
      <c r="H700" s="672"/>
      <c r="I700" s="589"/>
      <c r="J700" s="589"/>
      <c r="K700" s="592"/>
      <c r="L700" s="589"/>
      <c r="M700" s="595"/>
      <c r="N700" s="598"/>
      <c r="O700" s="601"/>
      <c r="P700" s="595"/>
      <c r="Q700" s="604"/>
      <c r="R700" s="601"/>
      <c r="S700" s="289"/>
      <c r="T700" s="604"/>
      <c r="U700" s="142" t="s">
        <v>223</v>
      </c>
      <c r="V700" s="418"/>
      <c r="W700" s="331"/>
      <c r="X700" s="320" t="str">
        <f>IF(W700=[21]Listas!$B$46,[21]Listas!$C$46,IF(W700=[21]Listas!$B$47,[21]Listas!$C$47,IF(W700=[21]Listas!$B$48,[21]Listas!$C$48,"")))</f>
        <v/>
      </c>
      <c r="Y700" s="321" t="str">
        <f>IF(OR(W700=[21]Listas!$F$53,W700=[21]Listas!$F$54),[21]Listas!$G$53,IF(W700=[21]Listas!$F$55,[21]Listas!$G$55,""))</f>
        <v/>
      </c>
      <c r="Z700" s="319"/>
      <c r="AA700" s="182" t="str">
        <f>+IF(Z700=[21]Listas!$E$46,[21]Listas!$F$46,IF(Z700=[21]Listas!$E$47,[21]Listas!$F$47,""))</f>
        <v/>
      </c>
      <c r="AB700" s="183" t="str">
        <f t="shared" si="106"/>
        <v/>
      </c>
      <c r="AC700" s="319"/>
      <c r="AD700" s="322"/>
      <c r="AE700" s="323"/>
      <c r="AF700" s="305" t="str">
        <f t="shared" si="99"/>
        <v>Muy baja</v>
      </c>
      <c r="AG700" s="145">
        <f>IF(Y700=[21]Listas!$G$53,AG699-(AG699*AB700),AG699)</f>
        <v>0.14399999999999999</v>
      </c>
      <c r="AH700" s="562"/>
      <c r="AI700" s="305" t="str">
        <f t="shared" si="102"/>
        <v>Moderado</v>
      </c>
      <c r="AJ700" s="145">
        <f>IF(Y700=[21]Listas!$G$55,AJ699-(AJ699*AB700),AJ699)</f>
        <v>0.6</v>
      </c>
      <c r="AK700" s="562"/>
      <c r="AL700" s="565"/>
      <c r="AM700" s="565"/>
      <c r="AN700" s="565"/>
      <c r="AO700" s="568"/>
      <c r="AP700" s="571"/>
      <c r="AQ700" s="343"/>
      <c r="AR700" s="191"/>
    </row>
    <row r="701" spans="2:44" ht="15.75" hidden="1" customHeight="1" thickTop="1" x14ac:dyDescent="0.35">
      <c r="B701" s="537"/>
      <c r="C701" s="559"/>
      <c r="D701" s="575"/>
      <c r="E701" s="578"/>
      <c r="F701" s="626"/>
      <c r="G701" s="673"/>
      <c r="H701" s="673"/>
      <c r="I701" s="590"/>
      <c r="J701" s="590"/>
      <c r="K701" s="593"/>
      <c r="L701" s="590"/>
      <c r="M701" s="596"/>
      <c r="N701" s="599"/>
      <c r="O701" s="602"/>
      <c r="P701" s="596"/>
      <c r="Q701" s="605"/>
      <c r="R701" s="602"/>
      <c r="S701" s="293"/>
      <c r="T701" s="605"/>
      <c r="U701" s="202" t="s">
        <v>224</v>
      </c>
      <c r="V701" s="416"/>
      <c r="W701" s="335"/>
      <c r="X701" s="336" t="str">
        <f>IF(W701=[21]Listas!$B$46,[21]Listas!$C$46,IF(W701=[21]Listas!$B$47,[21]Listas!$C$47,IF(W701=[21]Listas!$B$48,[21]Listas!$C$48,"")))</f>
        <v/>
      </c>
      <c r="Y701" s="337" t="str">
        <f>IF(OR(W701=[21]Listas!$F$53,W701=[21]Listas!$F$54),[21]Listas!$G$53,IF(W701=[21]Listas!$F$55,[21]Listas!$G$55,""))</f>
        <v/>
      </c>
      <c r="Z701" s="335"/>
      <c r="AA701" s="186" t="str">
        <f>+IF(Z701=[21]Listas!$E$46,[21]Listas!$F$46,IF(Z701=[21]Listas!$E$47,[21]Listas!$F$47,""))</f>
        <v/>
      </c>
      <c r="AB701" s="187" t="str">
        <f t="shared" si="106"/>
        <v/>
      </c>
      <c r="AC701" s="338"/>
      <c r="AD701" s="339"/>
      <c r="AE701" s="340"/>
      <c r="AF701" s="311" t="str">
        <f t="shared" si="99"/>
        <v>Muy baja</v>
      </c>
      <c r="AG701" s="179">
        <f>IF(Y701=[21]Listas!$G$53,AG700-(AG700*AB701),AG700)</f>
        <v>0.14399999999999999</v>
      </c>
      <c r="AH701" s="563"/>
      <c r="AI701" s="311" t="str">
        <f t="shared" si="102"/>
        <v>Moderado</v>
      </c>
      <c r="AJ701" s="179">
        <f>IF(Y701=[21]Listas!$G$55,AJ700-(AJ700*AB701),AJ700)</f>
        <v>0.6</v>
      </c>
      <c r="AK701" s="563"/>
      <c r="AL701" s="566"/>
      <c r="AM701" s="566"/>
      <c r="AN701" s="566"/>
      <c r="AO701" s="569"/>
      <c r="AP701" s="572"/>
      <c r="AQ701" s="359"/>
      <c r="AR701" s="192"/>
    </row>
    <row r="702" spans="2:44" ht="191.5" customHeight="1" thickTop="1" thickBot="1" x14ac:dyDescent="0.4">
      <c r="B702" s="537"/>
      <c r="C702" s="559"/>
      <c r="D702" s="573" t="s">
        <v>831</v>
      </c>
      <c r="E702" s="576" t="s">
        <v>5</v>
      </c>
      <c r="F702" s="645" t="s">
        <v>832</v>
      </c>
      <c r="G702" s="662" t="s">
        <v>833</v>
      </c>
      <c r="H702" s="665" t="s">
        <v>834</v>
      </c>
      <c r="I702" s="588" t="s">
        <v>20</v>
      </c>
      <c r="J702" s="588" t="s">
        <v>22</v>
      </c>
      <c r="K702" s="591" t="s">
        <v>835</v>
      </c>
      <c r="L702" s="588" t="s">
        <v>168</v>
      </c>
      <c r="M702" s="594" t="s">
        <v>169</v>
      </c>
      <c r="N702" s="597" t="str">
        <f>+IF(M702="","",IF(M702=$BO$15,$BN$15,IF(M702=$BO$16,$BN$16,IF(M702=$BO$17,$BN$17,IF(M702=$BO$18,$BN$18,IF(M702=$BO$19,$BN$19))))))</f>
        <v>Alta</v>
      </c>
      <c r="O702" s="600">
        <f>+IF(M702="","",IF(M702=$BO$15,$BR$15,IF(M702=$BO$16,$BR$16,IF(M702=$BO$17,$BR$17,IF(M702=$BO$18,$BR$18,IF(M702=$BO$19,$BR$19))))))</f>
        <v>0.8</v>
      </c>
      <c r="P702" s="594" t="s">
        <v>211</v>
      </c>
      <c r="Q702" s="603" t="str">
        <f>+IF(P702="","",IF(P702='[21]Mapa de Calor inherente'!$AF$6,'[21]Mapa de Calor inherente'!$AD$6,IF(P702='[21]Mapa de Calor inherente'!$AF$7,'[21]Mapa de Calor inherente'!$AD$7,IF(P702='[21]Mapa de Calor inherente'!$AF$8,'[21]Mapa de Calor inherente'!$AD$8,IF(P702='[21]Mapa de Calor inherente'!$AF$9,'[21]Mapa de Calor inherente'!$AD$9,IF(P702='[21]Mapa de Calor inherente'!$AF$10,'[21]Mapa de Calor inherente'!$AD$10,IF(P702='[21]Mapa de Calor inherente'!$AG$6,'[21]Mapa de Calor inherente'!$AD$6,IF(P702='[21]Mapa de Calor inherente'!$AG$7,'[21]Mapa de Calor inherente'!$AD$7,IF(P702='[21]Mapa de Calor inherente'!$AG$8,'[21]Mapa de Calor inherente'!$AD$8,IF(P702='[21]Mapa de Calor inherente'!$AG$9,'[21]Mapa de Calor inherente'!$AD$9,IF(P702='[21]Mapa de Calor inherente'!$AG$10,'[21]Mapa de Calor inherente'!$AD$10,IF(P702='[21]Mapa de Calor inherente'!$AD$8,'[21]Mapa de Calor inherente'!$AD$8,IF(P702='[21]Mapa de Calor inherente'!$AD$9,'[21]Mapa de Calor inherente'!$AD$9,IF(P702='[21]Mapa de Calor inherente'!$AD$10,'[21]Mapa de Calor inherente'!$AD$10))))))))))))))</f>
        <v>Moderado</v>
      </c>
      <c r="R702" s="600">
        <f>+IF(P702="","",IF(P702='[21]Mapa de Calor inherente'!$AF$6,'[21]Mapa de Calor inherente'!$AE$6,IF(P702='[21]Mapa de Calor inherente'!$AF$7,'[21]Mapa de Calor inherente'!$AE$7,IF(P702='[21]Mapa de Calor inherente'!$AF$8,'[21]Mapa de Calor inherente'!$AE$8,IF(P702='[21]Mapa de Calor inherente'!$AF$9,'[21]Mapa de Calor inherente'!$AE$9,IF(P702='[21]Mapa de Calor inherente'!$AF$10,'[21]Mapa de Calor inherente'!$AE$10,IF(P702='[21]Mapa de Calor inherente'!$AG$6,'[21]Mapa de Calor inherente'!$AE$6,IF(P702='[21]Mapa de Calor inherente'!$AG$7,'[21]Mapa de Calor inherente'!$AE$7,IF(P702='[21]Mapa de Calor inherente'!$AG$8,'[21]Mapa de Calor inherente'!$AE$8,IF(P702='[21]Mapa de Calor inherente'!$AG$9,'[21]Mapa de Calor inherente'!$AE$9,IF(P702='[21]Mapa de Calor inherente'!$AG$10,'[21]Mapa de Calor inherente'!$AE$10,IF(P702='[21]Mapa de Calor inherente'!$AD$8,'[21]Mapa de Calor inherente'!$AE$8,IF(P702='[21]Mapa de Calor inherente'!$AD$9,'[21]Mapa de Calor inherente'!$AE$9,IF(P702='[21]Mapa de Calor inherente'!$AD$10,'[21]Mapa de Calor inherente'!$AE$10))))))))))))))</f>
        <v>0.6</v>
      </c>
      <c r="S702" s="292" t="e">
        <f>IF(N702="","",IF(R702="","",(N702*R702)))</f>
        <v>#VALUE!</v>
      </c>
      <c r="T702" s="603" t="str">
        <f>+IF(N702=$BB$17,IF(Q702=$BC$16,$BC$17,IF(Q702=$BD$16,$BD$17,IF(Q702=$BE$16,$BE$17,IF(Q702=$BF$16,$BF$17,IF(Q702=$BG$16,$BG$17))))),IF(N702=$BB$18,IF(Q702=$BC$16,$BC$18,IF(Q702=$BD$16,$BD$18,IF(Q702=$BE$16,$BE$18,IF(Q702=$BF$16,$BF$18,IF(Q702=$BG$16,$BG$18))))),IF(N702=$BB$19,IF(Q702=$BC$16,$BC$19,IF(Q702=$BD$16,$BD$19,IF(Q702=$BE$16,$BE$19,IF(Q702=$BF$16,$BF$19,IF(Q702=$BG$16,$BG$19))))),IF(N702=$BB$20,IF(Q702=$BC$16,$BC$20,IF(Q702=$BD$16,$BD$20,IF(Q702=$BE$16,$BE$20,IF(Q702=$BF$16,$BF$20,IF(Q702=$BG$16,$BG$20))))),IF(N702=$BB$21,IF(Q702=$BC$16,$BC$21,IF(Q702=$BD$16,$BD$21,IF(Q702=$BE$16,$BE$21,IF(Q702=$BF$16,$BF$21,IF(Q702=$BG$16,$BG$21))))),"")))))</f>
        <v>Alto</v>
      </c>
      <c r="U702" s="139" t="s">
        <v>171</v>
      </c>
      <c r="V702" s="436" t="s">
        <v>836</v>
      </c>
      <c r="W702" s="313" t="s">
        <v>40</v>
      </c>
      <c r="X702" s="314">
        <f>IF(W702=[21]Listas!$B$46,[21]Listas!$C$46,IF(W702=[21]Listas!$B$47,[21]Listas!$C$47,IF(W702=[21]Listas!$B$48,[21]Listas!$C$48,"")))</f>
        <v>0.25</v>
      </c>
      <c r="Y702" s="315" t="str">
        <f>IF(OR(W702=[21]Listas!$F$53,W702=[21]Listas!$F$54),[21]Listas!$G$53,IF(W702=[21]Listas!$F$55,[21]Listas!$G$55,""))</f>
        <v>Probabilidad</v>
      </c>
      <c r="Z702" s="313" t="s">
        <v>43</v>
      </c>
      <c r="AA702" s="314">
        <f>+IF(Z702=[21]Listas!$E$46,[21]Listas!$F$46,IF(Z702=[21]Listas!$E$47,[21]Listas!$F$47,""))</f>
        <v>0.15</v>
      </c>
      <c r="AB702" s="181">
        <f>IFERROR(X702+AA702,"")</f>
        <v>0.4</v>
      </c>
      <c r="AC702" s="313" t="s">
        <v>57</v>
      </c>
      <c r="AD702" s="316" t="s">
        <v>58</v>
      </c>
      <c r="AE702" s="317" t="s">
        <v>59</v>
      </c>
      <c r="AF702" s="299" t="str">
        <f t="shared" si="99"/>
        <v>Media</v>
      </c>
      <c r="AG702" s="141">
        <f>IF(Y702=[21]Listas!$G$53,O702-(O702*AB702),O702)</f>
        <v>0.48</v>
      </c>
      <c r="AH702" s="561">
        <f>+IF(AG711="","",AG711)</f>
        <v>0.28799999999999998</v>
      </c>
      <c r="AI702" s="299" t="str">
        <f>IF(AJ702="","",IF(AJ702&lt;=20%,"Leve",IF(AJ702&lt;=40%,"Menor",IF(AJ702&lt;=60%,"Moderado",IF(AJ702&lt;=80%,"Mayor","Catastrófico")))))</f>
        <v>Moderado</v>
      </c>
      <c r="AJ702" s="141">
        <f>IF(Y702=[21]Listas!$G$55,R702-(R702*AB702),R702)</f>
        <v>0.6</v>
      </c>
      <c r="AK702" s="561">
        <f>+IF(AJ711="","",AJ711)</f>
        <v>0.6</v>
      </c>
      <c r="AL702" s="564" t="str">
        <f>+IF(AH702=0,"",IF(AH702&lt;=$BA$21,$BB$21,IF(AH702&lt;=$BA$20,$BB$20,IF(AH702&lt;=$BA$19,$BB$19,IF(AH702&lt;=$BA$18,$BB$18,IF(AH702&lt;=$BA$17,$BB$17,""))))))</f>
        <v>Baja</v>
      </c>
      <c r="AM702" s="564" t="str">
        <f>+IF(AK702=0,"",IF(AK702&lt;=$BC$15,$BC$16,IF(AK702&lt;=$BD$15,$BD$16,IF(AK702&lt;=$BE$15,$BE$16,IF(AK702&lt;=$BF$15,$BF$16,IF(AK702&lt;=$BG$15,$BG$16,""))))))</f>
        <v>Moderado</v>
      </c>
      <c r="AN702" s="564" t="str">
        <f>IF(AL702=$BB$17,IF(AM702=$BC$16,$BC$17,IF(AM702=$BD$16,$BD$17,IF(AM702=$BE$16,$BE$17,IF(AM702=$BF$16,$BF$17,IF(AM702=$BG$16,$BG$17))))),IF(AL702=$BB$18,IF(AM702=$BC$16,$BC$18,IF(AM702=$BD$16,$BD$18,IF(AM702=$BE$16,$BE$18,IF(AM702=$BF$16,$BF$18,IF(AM702=$BG$16,$BG$18))))),IF(AL702=$BB$19,IF(AM702=$BC$16,$BC$19,IF(AM702=$BD$16,$BD$19,IF(AM702=$BE$16,$BE$19,IF(AM702=$BF$16,$BF$19,IF(AM702=$BG$16,$BG$19))))),IF(AL702=$BB$20,IF(AM702=$BC$16,$BC$20,IF(AM702=$BD$16,$BD$20,IF(AM702=$BE$16,$BE$20,IF(AM702=$BF$16,$BF$20,IF(AM702=$BG$16,$BG$20))))),IF(AL702=$BB$21,IF(AM702=$BC$16,$BC$21,IF(AM702=$BD$16,$BD$21,IF(AM702=$BE$16,$BE$21,IF(AM702=$BF$16,$BF$21,IF(AM702=$BG$16,$BG$21))))),"")))))</f>
        <v>Moderado</v>
      </c>
      <c r="AO702" s="567" t="str">
        <f>IF(AP702="","",IF(AP702=[21]Listas!$F$61,[21]Listas!$G$61,IF(AP702=[21]Listas!$F$63,[21]Listas!$G$63,IF(AP702=[21]Listas!$F$64,[21]Listas!$G$64))))</f>
        <v>Requiere Plan de Acción</v>
      </c>
      <c r="AP702" s="570" t="str">
        <f>IF(AN702="","",IF(OR(AN702=[21]Listas!$E$61,AN702=[21]Listas!$E$62),[21]Listas!$F$61,IF(AN702=[21]Listas!$E$63,[21]Listas!$F$63,IF(AN702=[21]Listas!$E$64,[21]Listas!$F$64))))</f>
        <v>Aceptar o reducir el riesgo</v>
      </c>
      <c r="AQ702" s="342" t="s">
        <v>90</v>
      </c>
      <c r="AR702" s="265" t="s">
        <v>837</v>
      </c>
    </row>
    <row r="703" spans="2:44" ht="138" customHeight="1" thickTop="1" thickBot="1" x14ac:dyDescent="0.4">
      <c r="B703" s="537"/>
      <c r="C703" s="559"/>
      <c r="D703" s="574"/>
      <c r="E703" s="577"/>
      <c r="F703" s="646"/>
      <c r="G703" s="663"/>
      <c r="H703" s="666"/>
      <c r="I703" s="589"/>
      <c r="J703" s="589"/>
      <c r="K703" s="592"/>
      <c r="L703" s="589"/>
      <c r="M703" s="595"/>
      <c r="N703" s="598"/>
      <c r="O703" s="601"/>
      <c r="P703" s="595"/>
      <c r="Q703" s="604"/>
      <c r="R703" s="601"/>
      <c r="S703" s="286"/>
      <c r="T703" s="604"/>
      <c r="U703" s="142" t="s">
        <v>174</v>
      </c>
      <c r="V703" s="503" t="s">
        <v>838</v>
      </c>
      <c r="W703" s="319" t="s">
        <v>40</v>
      </c>
      <c r="X703" s="320">
        <f>IF(W703=[21]Listas!$B$46,[21]Listas!$C$46,IF(W703=[21]Listas!$B$47,[21]Listas!$C$47,IF(W703=[21]Listas!$B$48,[21]Listas!$C$48,"")))</f>
        <v>0.25</v>
      </c>
      <c r="Y703" s="321" t="str">
        <f>IF(OR(W703=[21]Listas!$F$53,W703=[21]Listas!$F$54),[21]Listas!$G$53,IF(W703=[21]Listas!$F$55,[21]Listas!$G$55,""))</f>
        <v>Probabilidad</v>
      </c>
      <c r="Z703" s="319" t="s">
        <v>43</v>
      </c>
      <c r="AA703" s="182">
        <f>+IF(Z703=[21]Listas!$E$46,[21]Listas!$F$46,IF(Z703=[21]Listas!$E$47,[21]Listas!$F$47,""))</f>
        <v>0.15</v>
      </c>
      <c r="AB703" s="183">
        <f>IFERROR(X703+AA703,"")</f>
        <v>0.4</v>
      </c>
      <c r="AC703" s="319" t="s">
        <v>57</v>
      </c>
      <c r="AD703" s="322" t="s">
        <v>58</v>
      </c>
      <c r="AE703" s="323" t="s">
        <v>59</v>
      </c>
      <c r="AF703" s="305" t="str">
        <f t="shared" si="99"/>
        <v>Baja</v>
      </c>
      <c r="AG703" s="145">
        <f>IF(Y703=[21]Listas!$G$53,AG702-(AG702*AB703),AG702)</f>
        <v>0.28799999999999998</v>
      </c>
      <c r="AH703" s="562"/>
      <c r="AI703" s="305" t="str">
        <f t="shared" si="102"/>
        <v>Moderado</v>
      </c>
      <c r="AJ703" s="145">
        <f>IF(Y703=[21]Listas!$G$55,AJ702-(AJ702*AB703),AJ702)</f>
        <v>0.6</v>
      </c>
      <c r="AK703" s="562"/>
      <c r="AL703" s="565"/>
      <c r="AM703" s="565"/>
      <c r="AN703" s="565"/>
      <c r="AO703" s="568"/>
      <c r="AP703" s="571"/>
      <c r="AQ703" s="343"/>
      <c r="AR703" s="191"/>
    </row>
    <row r="704" spans="2:44" ht="16" hidden="1" customHeight="1" thickBot="1" x14ac:dyDescent="0.4">
      <c r="B704" s="537"/>
      <c r="C704" s="559"/>
      <c r="D704" s="574"/>
      <c r="E704" s="577"/>
      <c r="F704" s="646"/>
      <c r="G704" s="663"/>
      <c r="H704" s="666"/>
      <c r="I704" s="589"/>
      <c r="J704" s="589"/>
      <c r="K704" s="592"/>
      <c r="L704" s="589"/>
      <c r="M704" s="595"/>
      <c r="N704" s="598"/>
      <c r="O704" s="601"/>
      <c r="P704" s="595"/>
      <c r="Q704" s="604"/>
      <c r="R704" s="601"/>
      <c r="S704" s="287"/>
      <c r="T704" s="604"/>
      <c r="U704" s="142" t="s">
        <v>180</v>
      </c>
      <c r="V704" s="418"/>
      <c r="W704" s="331"/>
      <c r="X704" s="320" t="str">
        <f>IF(W704=[21]Listas!$B$46,[21]Listas!$C$46,IF(W704=[21]Listas!$B$47,[21]Listas!$C$47,IF(W704=[21]Listas!$B$48,[21]Listas!$C$48,"")))</f>
        <v/>
      </c>
      <c r="Y704" s="321" t="str">
        <f>IF(OR(W704=[21]Listas!$F$53,W704=[21]Listas!$F$54),[21]Listas!$G$53,IF(W704=[21]Listas!$F$55,[21]Listas!$G$55,""))</f>
        <v/>
      </c>
      <c r="Z704" s="319"/>
      <c r="AA704" s="182" t="str">
        <f>+IF(Z704=[21]Listas!$E$46,[21]Listas!$F$46,IF(Z704=[21]Listas!$E$47,[21]Listas!$F$47,""))</f>
        <v/>
      </c>
      <c r="AB704" s="183" t="str">
        <f>IFERROR(X704+AA704,"")</f>
        <v/>
      </c>
      <c r="AC704" s="325"/>
      <c r="AD704" s="326"/>
      <c r="AE704" s="327"/>
      <c r="AF704" s="305" t="str">
        <f t="shared" si="99"/>
        <v>Baja</v>
      </c>
      <c r="AG704" s="145">
        <f>IF(Y704=[21]Listas!$G$53,AG703-(AG703*AB704),AG703)</f>
        <v>0.28799999999999998</v>
      </c>
      <c r="AH704" s="562"/>
      <c r="AI704" s="305" t="str">
        <f t="shared" si="102"/>
        <v>Moderado</v>
      </c>
      <c r="AJ704" s="145">
        <f>IF(Y704=[21]Listas!$G$55,AJ703-(AJ703*AB704),AJ703)</f>
        <v>0.6</v>
      </c>
      <c r="AK704" s="562"/>
      <c r="AL704" s="565"/>
      <c r="AM704" s="565"/>
      <c r="AN704" s="565"/>
      <c r="AO704" s="568"/>
      <c r="AP704" s="571"/>
      <c r="AQ704" s="344"/>
      <c r="AR704" s="191"/>
    </row>
    <row r="705" spans="2:44" ht="16" hidden="1" customHeight="1" x14ac:dyDescent="0.35">
      <c r="B705" s="537"/>
      <c r="C705" s="559"/>
      <c r="D705" s="574"/>
      <c r="E705" s="577"/>
      <c r="F705" s="646"/>
      <c r="G705" s="663"/>
      <c r="H705" s="666"/>
      <c r="I705" s="589"/>
      <c r="J705" s="589"/>
      <c r="K705" s="592"/>
      <c r="L705" s="589"/>
      <c r="M705" s="595"/>
      <c r="N705" s="598"/>
      <c r="O705" s="601"/>
      <c r="P705" s="595"/>
      <c r="Q705" s="604"/>
      <c r="R705" s="601"/>
      <c r="S705" s="287"/>
      <c r="T705" s="604"/>
      <c r="U705" s="142" t="s">
        <v>190</v>
      </c>
      <c r="V705" s="418"/>
      <c r="W705" s="319"/>
      <c r="X705" s="320" t="str">
        <f>IF(W705=[21]Listas!$B$46,[21]Listas!$C$46,IF(W705=[21]Listas!$B$47,[21]Listas!$C$47,IF(W705=[21]Listas!$B$48,[21]Listas!$C$48,"")))</f>
        <v/>
      </c>
      <c r="Y705" s="321" t="str">
        <f>IF(OR(W705=[21]Listas!$F$53,W705=[21]Listas!$F$54),[21]Listas!$G$53,IF(W705=[21]Listas!$F$55,[21]Listas!$G$55,""))</f>
        <v/>
      </c>
      <c r="Z705" s="319"/>
      <c r="AA705" s="182" t="str">
        <f>+IF(Z705=[21]Listas!$E$46,[21]Listas!$F$46,IF(Z705=[21]Listas!$E$47,[21]Listas!$F$47,""))</f>
        <v/>
      </c>
      <c r="AB705" s="183" t="str">
        <f t="shared" ref="AB705:AB711" si="107">IFERROR(X705+AA705,"")</f>
        <v/>
      </c>
      <c r="AC705" s="328"/>
      <c r="AD705" s="329"/>
      <c r="AE705" s="330"/>
      <c r="AF705" s="305" t="str">
        <f t="shared" si="99"/>
        <v>Baja</v>
      </c>
      <c r="AG705" s="145">
        <f>IF(Y705=[21]Listas!$G$53,AG704-(AG704*AB705),AG704)</f>
        <v>0.28799999999999998</v>
      </c>
      <c r="AH705" s="562"/>
      <c r="AI705" s="305" t="str">
        <f t="shared" si="102"/>
        <v>Moderado</v>
      </c>
      <c r="AJ705" s="145">
        <f>IF(Y705=[21]Listas!$G$55,AJ704-(AJ704*AB705),AJ704)</f>
        <v>0.6</v>
      </c>
      <c r="AK705" s="562"/>
      <c r="AL705" s="565"/>
      <c r="AM705" s="565"/>
      <c r="AN705" s="565"/>
      <c r="AO705" s="568"/>
      <c r="AP705" s="571"/>
      <c r="AQ705" s="343"/>
      <c r="AR705" s="191"/>
    </row>
    <row r="706" spans="2:44" ht="16" hidden="1" customHeight="1" thickTop="1" x14ac:dyDescent="0.35">
      <c r="B706" s="537"/>
      <c r="C706" s="559"/>
      <c r="D706" s="574"/>
      <c r="E706" s="577"/>
      <c r="F706" s="646"/>
      <c r="G706" s="663"/>
      <c r="H706" s="666"/>
      <c r="I706" s="589"/>
      <c r="J706" s="589"/>
      <c r="K706" s="592"/>
      <c r="L706" s="589"/>
      <c r="M706" s="595"/>
      <c r="N706" s="598"/>
      <c r="O706" s="601"/>
      <c r="P706" s="595"/>
      <c r="Q706" s="604"/>
      <c r="R706" s="601"/>
      <c r="S706" s="287"/>
      <c r="T706" s="604"/>
      <c r="U706" s="142" t="s">
        <v>198</v>
      </c>
      <c r="V706" s="418"/>
      <c r="W706" s="331"/>
      <c r="X706" s="320" t="str">
        <f>IF(W706=[21]Listas!$B$46,[21]Listas!$C$46,IF(W706=[21]Listas!$B$47,[21]Listas!$C$47,IF(W706=[21]Listas!$B$48,[21]Listas!$C$48,"")))</f>
        <v/>
      </c>
      <c r="Y706" s="321" t="str">
        <f>IF(OR(W706=[21]Listas!$F$53,W706=[21]Listas!$F$54),[21]Listas!$G$53,IF(W706=[21]Listas!$F$55,[21]Listas!$G$55,""))</f>
        <v/>
      </c>
      <c r="Z706" s="331"/>
      <c r="AA706" s="182" t="str">
        <f>+IF(Z706=[21]Listas!$E$46,[21]Listas!$F$46,IF(Z706=[21]Listas!$E$47,[21]Listas!$F$47,""))</f>
        <v/>
      </c>
      <c r="AB706" s="183" t="str">
        <f t="shared" si="107"/>
        <v/>
      </c>
      <c r="AC706" s="319"/>
      <c r="AD706" s="322"/>
      <c r="AE706" s="323"/>
      <c r="AF706" s="305" t="str">
        <f t="shared" si="99"/>
        <v>Baja</v>
      </c>
      <c r="AG706" s="145">
        <f>IF(Y706=[21]Listas!$G$53,AG705-(AG705*AB706),AG705)</f>
        <v>0.28799999999999998</v>
      </c>
      <c r="AH706" s="562"/>
      <c r="AI706" s="305" t="str">
        <f t="shared" si="102"/>
        <v>Moderado</v>
      </c>
      <c r="AJ706" s="145">
        <f>IF(Y706=[21]Listas!$G$55,AJ705-(AJ705*AB706),AJ705)</f>
        <v>0.6</v>
      </c>
      <c r="AK706" s="562"/>
      <c r="AL706" s="565"/>
      <c r="AM706" s="565"/>
      <c r="AN706" s="565"/>
      <c r="AO706" s="568"/>
      <c r="AP706" s="571"/>
      <c r="AQ706" s="343"/>
      <c r="AR706" s="191"/>
    </row>
    <row r="707" spans="2:44" ht="16" hidden="1" customHeight="1" thickTop="1" x14ac:dyDescent="0.35">
      <c r="B707" s="537"/>
      <c r="C707" s="559"/>
      <c r="D707" s="574"/>
      <c r="E707" s="577"/>
      <c r="F707" s="646"/>
      <c r="G707" s="663"/>
      <c r="H707" s="666"/>
      <c r="I707" s="589"/>
      <c r="J707" s="589"/>
      <c r="K707" s="592"/>
      <c r="L707" s="589"/>
      <c r="M707" s="595"/>
      <c r="N707" s="598"/>
      <c r="O707" s="601"/>
      <c r="P707" s="595"/>
      <c r="Q707" s="604"/>
      <c r="R707" s="601"/>
      <c r="S707" s="288"/>
      <c r="T707" s="604"/>
      <c r="U707" s="142" t="s">
        <v>208</v>
      </c>
      <c r="V707" s="418"/>
      <c r="W707" s="331"/>
      <c r="X707" s="320" t="str">
        <f>IF(W707=[21]Listas!$B$46,[21]Listas!$C$46,IF(W707=[21]Listas!$B$47,[21]Listas!$C$47,IF(W707=[21]Listas!$B$48,[21]Listas!$C$48,"")))</f>
        <v/>
      </c>
      <c r="Y707" s="321" t="str">
        <f>IF(OR(W707=[21]Listas!$F$53,W707=[21]Listas!$F$54),[21]Listas!$G$53,IF(W707=[21]Listas!$F$55,[21]Listas!$G$55,""))</f>
        <v/>
      </c>
      <c r="Z707" s="331"/>
      <c r="AA707" s="182" t="str">
        <f>+IF(Z707=[21]Listas!$E$46,[21]Listas!$F$46,IF(Z707=[21]Listas!$E$47,[21]Listas!$F$47,""))</f>
        <v/>
      </c>
      <c r="AB707" s="183" t="str">
        <f t="shared" si="107"/>
        <v/>
      </c>
      <c r="AC707" s="319"/>
      <c r="AD707" s="322"/>
      <c r="AE707" s="323"/>
      <c r="AF707" s="305" t="str">
        <f t="shared" si="99"/>
        <v>Baja</v>
      </c>
      <c r="AG707" s="145">
        <f>IF(Y707=[21]Listas!$G$53,AG706-(AG706*AB707),AG706)</f>
        <v>0.28799999999999998</v>
      </c>
      <c r="AH707" s="562"/>
      <c r="AI707" s="305" t="str">
        <f t="shared" si="102"/>
        <v>Moderado</v>
      </c>
      <c r="AJ707" s="145">
        <f>IF(Y707=[21]Listas!$G$55,AJ706-(AJ706*AB707),AJ706)</f>
        <v>0.6</v>
      </c>
      <c r="AK707" s="562"/>
      <c r="AL707" s="565"/>
      <c r="AM707" s="565"/>
      <c r="AN707" s="565"/>
      <c r="AO707" s="568"/>
      <c r="AP707" s="571"/>
      <c r="AQ707" s="343"/>
      <c r="AR707" s="191"/>
    </row>
    <row r="708" spans="2:44" ht="16" hidden="1" customHeight="1" thickTop="1" x14ac:dyDescent="0.35">
      <c r="B708" s="537"/>
      <c r="C708" s="559"/>
      <c r="D708" s="574"/>
      <c r="E708" s="577"/>
      <c r="F708" s="646"/>
      <c r="G708" s="663"/>
      <c r="H708" s="666"/>
      <c r="I708" s="589"/>
      <c r="J708" s="589"/>
      <c r="K708" s="592"/>
      <c r="L708" s="589"/>
      <c r="M708" s="595"/>
      <c r="N708" s="598"/>
      <c r="O708" s="601"/>
      <c r="P708" s="595"/>
      <c r="Q708" s="604"/>
      <c r="R708" s="601"/>
      <c r="S708" s="289"/>
      <c r="T708" s="604"/>
      <c r="U708" s="142" t="s">
        <v>215</v>
      </c>
      <c r="V708" s="418"/>
      <c r="W708" s="331"/>
      <c r="X708" s="320" t="str">
        <f>IF(W708=[21]Listas!$B$46,[21]Listas!$C$46,IF(W708=[21]Listas!$B$47,[21]Listas!$C$47,IF(W708=[21]Listas!$B$48,[21]Listas!$C$48,"")))</f>
        <v/>
      </c>
      <c r="Y708" s="321" t="str">
        <f>IF(OR(W708=[21]Listas!$F$53,W708=[21]Listas!$F$54),[21]Listas!$G$53,IF(W708=[21]Listas!$F$55,[21]Listas!$G$55,""))</f>
        <v/>
      </c>
      <c r="Z708" s="331"/>
      <c r="AA708" s="182" t="str">
        <f>+IF(Z708=[21]Listas!$E$46,[21]Listas!$F$46,IF(Z708=[21]Listas!$E$47,[21]Listas!$F$47,""))</f>
        <v/>
      </c>
      <c r="AB708" s="183" t="str">
        <f t="shared" si="107"/>
        <v/>
      </c>
      <c r="AC708" s="319"/>
      <c r="AD708" s="322"/>
      <c r="AE708" s="323"/>
      <c r="AF708" s="305" t="str">
        <f t="shared" si="99"/>
        <v>Baja</v>
      </c>
      <c r="AG708" s="145">
        <f>IF(Y708=[21]Listas!$G$53,AG707-(AG707*AB708),AG707)</f>
        <v>0.28799999999999998</v>
      </c>
      <c r="AH708" s="562"/>
      <c r="AI708" s="305" t="str">
        <f t="shared" si="102"/>
        <v>Moderado</v>
      </c>
      <c r="AJ708" s="145">
        <f>IF(Y708=[21]Listas!$G$55,AJ707-(AJ707*AB708),AJ707)</f>
        <v>0.6</v>
      </c>
      <c r="AK708" s="562"/>
      <c r="AL708" s="565"/>
      <c r="AM708" s="565"/>
      <c r="AN708" s="565"/>
      <c r="AO708" s="568"/>
      <c r="AP708" s="571"/>
      <c r="AQ708" s="344"/>
      <c r="AR708" s="191"/>
    </row>
    <row r="709" spans="2:44" ht="16" hidden="1" customHeight="1" thickTop="1" x14ac:dyDescent="0.35">
      <c r="B709" s="537"/>
      <c r="C709" s="559"/>
      <c r="D709" s="574"/>
      <c r="E709" s="577"/>
      <c r="F709" s="646"/>
      <c r="G709" s="663"/>
      <c r="H709" s="666"/>
      <c r="I709" s="589"/>
      <c r="J709" s="589"/>
      <c r="K709" s="592"/>
      <c r="L709" s="589"/>
      <c r="M709" s="595"/>
      <c r="N709" s="598"/>
      <c r="O709" s="601"/>
      <c r="P709" s="595"/>
      <c r="Q709" s="604"/>
      <c r="R709" s="601"/>
      <c r="S709" s="289"/>
      <c r="T709" s="604"/>
      <c r="U709" s="142" t="s">
        <v>220</v>
      </c>
      <c r="V709" s="418"/>
      <c r="W709" s="331"/>
      <c r="X709" s="320" t="str">
        <f>IF(W709=[21]Listas!$B$46,[21]Listas!$C$46,IF(W709=[21]Listas!$B$47,[21]Listas!$C$47,IF(W709=[21]Listas!$B$48,[21]Listas!$C$48,"")))</f>
        <v/>
      </c>
      <c r="Y709" s="321" t="str">
        <f>IF(OR(W709=[21]Listas!$F$53,W709=[21]Listas!$F$54),[21]Listas!$G$53,IF(W709=[21]Listas!$F$55,[21]Listas!$G$55,""))</f>
        <v/>
      </c>
      <c r="Z709" s="331"/>
      <c r="AA709" s="182" t="str">
        <f>+IF(Z709=[21]Listas!$E$46,[21]Listas!$F$46,IF(Z709=[21]Listas!$E$47,[21]Listas!$F$47,""))</f>
        <v/>
      </c>
      <c r="AB709" s="183" t="str">
        <f t="shared" si="107"/>
        <v/>
      </c>
      <c r="AC709" s="319"/>
      <c r="AD709" s="322"/>
      <c r="AE709" s="323"/>
      <c r="AF709" s="305" t="str">
        <f t="shared" si="99"/>
        <v>Baja</v>
      </c>
      <c r="AG709" s="145">
        <f>IF(Y709=[21]Listas!$G$53,AG708-(AG708*AB709),AG708)</f>
        <v>0.28799999999999998</v>
      </c>
      <c r="AH709" s="562"/>
      <c r="AI709" s="305" t="str">
        <f t="shared" si="102"/>
        <v>Moderado</v>
      </c>
      <c r="AJ709" s="145">
        <f>IF(Y709=[21]Listas!$G$55,AJ708-(AJ708*AB709),AJ708)</f>
        <v>0.6</v>
      </c>
      <c r="AK709" s="562"/>
      <c r="AL709" s="565"/>
      <c r="AM709" s="565"/>
      <c r="AN709" s="565"/>
      <c r="AO709" s="568"/>
      <c r="AP709" s="571"/>
      <c r="AQ709" s="345"/>
      <c r="AR709" s="191"/>
    </row>
    <row r="710" spans="2:44" ht="16" hidden="1" customHeight="1" thickTop="1" x14ac:dyDescent="0.35">
      <c r="B710" s="537"/>
      <c r="C710" s="559"/>
      <c r="D710" s="574"/>
      <c r="E710" s="577"/>
      <c r="F710" s="646"/>
      <c r="G710" s="663"/>
      <c r="H710" s="666"/>
      <c r="I710" s="589"/>
      <c r="J710" s="589"/>
      <c r="K710" s="592"/>
      <c r="L710" s="589"/>
      <c r="M710" s="595"/>
      <c r="N710" s="598"/>
      <c r="O710" s="601"/>
      <c r="P710" s="595"/>
      <c r="Q710" s="604"/>
      <c r="R710" s="601"/>
      <c r="S710" s="289"/>
      <c r="T710" s="604"/>
      <c r="U710" s="142" t="s">
        <v>223</v>
      </c>
      <c r="V710" s="418"/>
      <c r="W710" s="331"/>
      <c r="X710" s="320" t="str">
        <f>IF(W710=[21]Listas!$B$46,[21]Listas!$C$46,IF(W710=[21]Listas!$B$47,[21]Listas!$C$47,IF(W710=[21]Listas!$B$48,[21]Listas!$C$48,"")))</f>
        <v/>
      </c>
      <c r="Y710" s="321" t="str">
        <f>IF(OR(W710=[21]Listas!$F$53,W710=[21]Listas!$F$54),[21]Listas!$G$53,IF(W710=[21]Listas!$F$55,[21]Listas!$G$55,""))</f>
        <v/>
      </c>
      <c r="Z710" s="331"/>
      <c r="AA710" s="182" t="str">
        <f>+IF(Z710=[21]Listas!$E$46,[21]Listas!$F$46,IF(Z710=[21]Listas!$E$47,[21]Listas!$F$47,""))</f>
        <v/>
      </c>
      <c r="AB710" s="183" t="str">
        <f t="shared" si="107"/>
        <v/>
      </c>
      <c r="AC710" s="319"/>
      <c r="AD710" s="322"/>
      <c r="AE710" s="323"/>
      <c r="AF710" s="305" t="str">
        <f t="shared" si="99"/>
        <v>Baja</v>
      </c>
      <c r="AG710" s="145">
        <f>IF(Y710=[21]Listas!$G$53,AG709-(AG709*AB710),AG709)</f>
        <v>0.28799999999999998</v>
      </c>
      <c r="AH710" s="562"/>
      <c r="AI710" s="305" t="str">
        <f t="shared" si="102"/>
        <v>Moderado</v>
      </c>
      <c r="AJ710" s="145">
        <f>IF(Y710=[21]Listas!$G$55,AJ709-(AJ709*AB710),AJ709)</f>
        <v>0.6</v>
      </c>
      <c r="AK710" s="562"/>
      <c r="AL710" s="565"/>
      <c r="AM710" s="565"/>
      <c r="AN710" s="565"/>
      <c r="AO710" s="568"/>
      <c r="AP710" s="571"/>
      <c r="AQ710" s="343"/>
      <c r="AR710" s="191"/>
    </row>
    <row r="711" spans="2:44" ht="16" hidden="1" customHeight="1" thickTop="1" x14ac:dyDescent="0.35">
      <c r="B711" s="537"/>
      <c r="C711" s="559"/>
      <c r="D711" s="575"/>
      <c r="E711" s="578"/>
      <c r="F711" s="647"/>
      <c r="G711" s="664"/>
      <c r="H711" s="667"/>
      <c r="I711" s="590"/>
      <c r="J711" s="590"/>
      <c r="K711" s="593"/>
      <c r="L711" s="590"/>
      <c r="M711" s="596"/>
      <c r="N711" s="599"/>
      <c r="O711" s="602"/>
      <c r="P711" s="596"/>
      <c r="Q711" s="605"/>
      <c r="R711" s="602"/>
      <c r="S711" s="293"/>
      <c r="T711" s="605"/>
      <c r="U711" s="202" t="s">
        <v>224</v>
      </c>
      <c r="V711" s="416"/>
      <c r="W711" s="335"/>
      <c r="X711" s="336" t="str">
        <f>IF(W711=[21]Listas!$B$46,[21]Listas!$C$46,IF(W711=[21]Listas!$B$47,[21]Listas!$C$47,IF(W711=[21]Listas!$B$48,[21]Listas!$C$48,"")))</f>
        <v/>
      </c>
      <c r="Y711" s="337" t="str">
        <f>IF(OR(W711=[21]Listas!$F$53,W711=[21]Listas!$F$54),[21]Listas!$G$53,IF(W711=[21]Listas!$F$55,[21]Listas!$G$55,""))</f>
        <v/>
      </c>
      <c r="Z711" s="335"/>
      <c r="AA711" s="186" t="str">
        <f>+IF(Z711=[21]Listas!$E$46,[21]Listas!$F$46,IF(Z711=[21]Listas!$E$47,[21]Listas!$F$47,""))</f>
        <v/>
      </c>
      <c r="AB711" s="187" t="str">
        <f t="shared" si="107"/>
        <v/>
      </c>
      <c r="AC711" s="338"/>
      <c r="AD711" s="339"/>
      <c r="AE711" s="340"/>
      <c r="AF711" s="311" t="str">
        <f t="shared" si="99"/>
        <v>Baja</v>
      </c>
      <c r="AG711" s="179">
        <f>IF(Y711=[21]Listas!$G$53,AG710-(AG710*AB711),AG710)</f>
        <v>0.28799999999999998</v>
      </c>
      <c r="AH711" s="563"/>
      <c r="AI711" s="311" t="str">
        <f t="shared" si="102"/>
        <v>Moderado</v>
      </c>
      <c r="AJ711" s="179">
        <f>IF(Y711=[21]Listas!$G$55,AJ710-(AJ710*AB711),AJ710)</f>
        <v>0.6</v>
      </c>
      <c r="AK711" s="563"/>
      <c r="AL711" s="566"/>
      <c r="AM711" s="566"/>
      <c r="AN711" s="566"/>
      <c r="AO711" s="569"/>
      <c r="AP711" s="572"/>
      <c r="AQ711" s="359"/>
      <c r="AR711" s="192"/>
    </row>
    <row r="712" spans="2:44" ht="126.75" customHeight="1" thickTop="1" thickBot="1" x14ac:dyDescent="0.4">
      <c r="B712" s="537"/>
      <c r="C712" s="559"/>
      <c r="D712" s="573" t="s">
        <v>839</v>
      </c>
      <c r="E712" s="576" t="s">
        <v>3</v>
      </c>
      <c r="F712" s="668" t="s">
        <v>840</v>
      </c>
      <c r="G712" s="662" t="s">
        <v>841</v>
      </c>
      <c r="H712" s="665" t="s">
        <v>842</v>
      </c>
      <c r="I712" s="588" t="s">
        <v>843</v>
      </c>
      <c r="J712" s="588" t="s">
        <v>22</v>
      </c>
      <c r="K712" s="591" t="s">
        <v>844</v>
      </c>
      <c r="L712" s="588" t="s">
        <v>185</v>
      </c>
      <c r="M712" s="594" t="s">
        <v>197</v>
      </c>
      <c r="N712" s="597" t="str">
        <f>+IF(M712="","",IF(M712=$BO$15,$BN$15,IF(M712=$BO$16,$BN$16,IF(M712=$BO$17,$BN$17,IF(M712=$BO$18,$BN$18,IF(M712=$BO$19,$BN$19))))))</f>
        <v>Muy Baja</v>
      </c>
      <c r="O712" s="600">
        <f>+IF(M712="","",IF(M712=$BO$15,$BR$15,IF(M712=$BO$16,$BR$16,IF(M712=$BO$17,$BR$17,IF(M712=$BO$18,$BR$18,IF(M712=$BO$19,$BR$19))))))</f>
        <v>0.2</v>
      </c>
      <c r="P712" s="594" t="s">
        <v>204</v>
      </c>
      <c r="Q712" s="603" t="str">
        <f>+IF(P712="","",IF(P712='[21]Mapa de Calor inherente'!$AF$6,'[21]Mapa de Calor inherente'!$AD$6,IF(P712='[21]Mapa de Calor inherente'!$AF$7,'[21]Mapa de Calor inherente'!$AD$7,IF(P712='[21]Mapa de Calor inherente'!$AF$8,'[21]Mapa de Calor inherente'!$AD$8,IF(P712='[21]Mapa de Calor inherente'!$AF$9,'[21]Mapa de Calor inherente'!$AD$9,IF(P712='[21]Mapa de Calor inherente'!$AF$10,'[21]Mapa de Calor inherente'!$AD$10,IF(P712='[21]Mapa de Calor inherente'!$AG$6,'[21]Mapa de Calor inherente'!$AD$6,IF(P712='[21]Mapa de Calor inherente'!$AG$7,'[21]Mapa de Calor inherente'!$AD$7,IF(P712='[21]Mapa de Calor inherente'!$AG$8,'[21]Mapa de Calor inherente'!$AD$8,IF(P712='[21]Mapa de Calor inherente'!$AG$9,'[21]Mapa de Calor inherente'!$AD$9,IF(P712='[21]Mapa de Calor inherente'!$AG$10,'[21]Mapa de Calor inherente'!$AD$10,IF(P712='[21]Mapa de Calor inherente'!$AD$8,'[21]Mapa de Calor inherente'!$AD$8,IF(P712='[21]Mapa de Calor inherente'!$AD$9,'[21]Mapa de Calor inherente'!$AD$9,IF(P712='[21]Mapa de Calor inherente'!$AD$10,'[21]Mapa de Calor inherente'!$AD$10))))))))))))))</f>
        <v>Menor</v>
      </c>
      <c r="R712" s="600">
        <f>+IF(P712="","",IF(P712='[21]Mapa de Calor inherente'!$AF$6,'[21]Mapa de Calor inherente'!$AE$6,IF(P712='[21]Mapa de Calor inherente'!$AF$7,'[21]Mapa de Calor inherente'!$AE$7,IF(P712='[21]Mapa de Calor inherente'!$AF$8,'[21]Mapa de Calor inherente'!$AE$8,IF(P712='[21]Mapa de Calor inherente'!$AF$9,'[21]Mapa de Calor inherente'!$AE$9,IF(P712='[21]Mapa de Calor inherente'!$AF$10,'[21]Mapa de Calor inherente'!$AE$10,IF(P712='[21]Mapa de Calor inherente'!$AG$6,'[21]Mapa de Calor inherente'!$AE$6,IF(P712='[21]Mapa de Calor inherente'!$AG$7,'[21]Mapa de Calor inherente'!$AE$7,IF(P712='[21]Mapa de Calor inherente'!$AG$8,'[21]Mapa de Calor inherente'!$AE$8,IF(P712='[21]Mapa de Calor inherente'!$AG$9,'[21]Mapa de Calor inherente'!$AE$9,IF(P712='[21]Mapa de Calor inherente'!$AG$10,'[21]Mapa de Calor inherente'!$AE$10,IF(P712='[21]Mapa de Calor inherente'!$AD$8,'[21]Mapa de Calor inherente'!$AE$8,IF(P712='[21]Mapa de Calor inherente'!$AD$9,'[21]Mapa de Calor inherente'!$AE$9,IF(P712='[21]Mapa de Calor inherente'!$AD$10,'[21]Mapa de Calor inherente'!$AE$10))))))))))))))</f>
        <v>0.4</v>
      </c>
      <c r="S712" s="292" t="e">
        <f>IF(N712="","",IF(R712="","",(N712*R712)))</f>
        <v>#VALUE!</v>
      </c>
      <c r="T712" s="603" t="str">
        <f>+IF(N712=$BB$17,IF(Q712=$BC$16,$BC$17,IF(Q712=$BD$16,$BD$17,IF(Q712=$BE$16,$BE$17,IF(Q712=$BF$16,$BF$17,IF(Q712=$BG$16,$BG$17))))),IF(N712=$BB$18,IF(Q712=$BC$16,$BC$18,IF(Q712=$BD$16,$BD$18,IF(Q712=$BE$16,$BE$18,IF(Q712=$BF$16,$BF$18,IF(Q712=$BG$16,$BG$18))))),IF(N712=$BB$19,IF(Q712=$BC$16,$BC$19,IF(Q712=$BD$16,$BD$19,IF(Q712=$BE$16,$BE$19,IF(Q712=$BF$16,$BF$19,IF(Q712=$BG$16,$BG$19))))),IF(N712=$BB$20,IF(Q712=$BC$16,$BC$20,IF(Q712=$BD$16,$BD$20,IF(Q712=$BE$16,$BE$20,IF(Q712=$BF$16,$BF$20,IF(Q712=$BG$16,$BG$20))))),IF(N712=$BB$21,IF(Q712=$BC$16,$BC$21,IF(Q712=$BD$16,$BD$21,IF(Q712=$BE$16,$BE$21,IF(Q712=$BF$16,$BF$21,IF(Q712=$BG$16,$BG$21))))),"")))))</f>
        <v>Bajo</v>
      </c>
      <c r="U712" s="139" t="s">
        <v>171</v>
      </c>
      <c r="V712" s="436" t="s">
        <v>845</v>
      </c>
      <c r="W712" s="313" t="s">
        <v>40</v>
      </c>
      <c r="X712" s="314">
        <f>IF(W712=[21]Listas!$B$46,[21]Listas!$C$46,IF(W712=[21]Listas!$B$47,[21]Listas!$C$47,IF(W712=[21]Listas!$B$48,[21]Listas!$C$48,"")))</f>
        <v>0.25</v>
      </c>
      <c r="Y712" s="315" t="str">
        <f>IF(OR(W712=[21]Listas!$F$53,W712=[21]Listas!$F$54),[21]Listas!$G$53,IF(W712=[21]Listas!$F$55,[21]Listas!$G$55,""))</f>
        <v>Probabilidad</v>
      </c>
      <c r="Z712" s="313" t="s">
        <v>43</v>
      </c>
      <c r="AA712" s="314">
        <f>+IF(Z712=[21]Listas!$E$46,[21]Listas!$F$46,IF(Z712=[21]Listas!$E$47,[21]Listas!$F$47,""))</f>
        <v>0.15</v>
      </c>
      <c r="AB712" s="181">
        <f>IFERROR(X712+AA712,"")</f>
        <v>0.4</v>
      </c>
      <c r="AC712" s="313" t="s">
        <v>57</v>
      </c>
      <c r="AD712" s="316" t="s">
        <v>58</v>
      </c>
      <c r="AE712" s="317" t="s">
        <v>59</v>
      </c>
      <c r="AF712" s="299" t="str">
        <f t="shared" si="99"/>
        <v>Muy baja</v>
      </c>
      <c r="AG712" s="141">
        <f>IF(Y712=[21]Listas!$G$53,O712-(O712*AB712),O712)</f>
        <v>0.12</v>
      </c>
      <c r="AH712" s="561">
        <f>+IF(AG721="","",AG721)</f>
        <v>0.12</v>
      </c>
      <c r="AI712" s="299" t="str">
        <f>IF(AJ712="","",IF(AJ712&lt;=20%,"Leve",IF(AJ712&lt;=40%,"Menor",IF(AJ712&lt;=60%,"Moderado",IF(AJ712&lt;=80%,"Mayor","Catastrófico")))))</f>
        <v>Menor</v>
      </c>
      <c r="AJ712" s="141">
        <f>IF(Y712=[21]Listas!$G$55,R712-(R712*AB712),R712)</f>
        <v>0.4</v>
      </c>
      <c r="AK712" s="561">
        <f>+IF(AJ721="","",AJ721)</f>
        <v>0.4</v>
      </c>
      <c r="AL712" s="564" t="str">
        <f>+IF(AH712=0,"",IF(AH712&lt;=$BA$21,$BB$21,IF(AH712&lt;=$BA$20,$BB$20,IF(AH712&lt;=$BA$19,$BB$19,IF(AH712&lt;=$BA$18,$BB$18,IF(AH712&lt;=$BA$17,$BB$17,""))))))</f>
        <v>Muy Baja</v>
      </c>
      <c r="AM712" s="564" t="str">
        <f>+IF(AK712=0,"",IF(AK712&lt;=$BC$15,$BC$16,IF(AK712&lt;=$BD$15,$BD$16,IF(AK712&lt;=$BE$15,$BE$16,IF(AK712&lt;=$BF$15,$BF$16,IF(AK712&lt;=$BG$15,$BG$16,""))))))</f>
        <v>Menor</v>
      </c>
      <c r="AN712" s="564" t="str">
        <f>IF(AL712=$BB$17,IF(AM712=$BC$16,$BC$17,IF(AM712=$BD$16,$BD$17,IF(AM712=$BE$16,$BE$17,IF(AM712=$BF$16,$BF$17,IF(AM712=$BG$16,$BG$17))))),IF(AL712=$BB$18,IF(AM712=$BC$16,$BC$18,IF(AM712=$BD$16,$BD$18,IF(AM712=$BE$16,$BE$18,IF(AM712=$BF$16,$BF$18,IF(AM712=$BG$16,$BG$18))))),IF(AL712=$BB$19,IF(AM712=$BC$16,$BC$19,IF(AM712=$BD$16,$BD$19,IF(AM712=$BE$16,$BE$19,IF(AM712=$BF$16,$BF$19,IF(AM712=$BG$16,$BG$19))))),IF(AL712=$BB$20,IF(AM712=$BC$16,$BC$20,IF(AM712=$BD$16,$BD$20,IF(AM712=$BE$16,$BE$20,IF(AM712=$BF$16,$BF$20,IF(AM712=$BG$16,$BG$20))))),IF(AL712=$BB$21,IF(AM712=$BC$16,$BC$21,IF(AM712=$BD$16,$BD$21,IF(AM712=$BE$16,$BE$21,IF(AM712=$BF$16,$BF$21,IF(AM712=$BG$16,$BG$21))))),"")))))</f>
        <v>Bajo</v>
      </c>
      <c r="AO712" s="567" t="str">
        <f>IF(AP712="","",IF(AP712=[21]Listas!$F$61,[21]Listas!$G$61,IF(AP712=[21]Listas!$F$63,[21]Listas!$G$63,IF(AP712=[21]Listas!$F$64,[21]Listas!$G$64))))</f>
        <v>No requiere Plan de Acción</v>
      </c>
      <c r="AP712" s="570" t="str">
        <f>IF(AN712="","",IF(OR(AN712=[21]Listas!$E$61,AN712=[21]Listas!$E$62),[21]Listas!$F$61,IF(AN712=[21]Listas!$E$63,[21]Listas!$F$63,IF(AN712=[21]Listas!$E$64,[21]Listas!$F$64))))</f>
        <v>Aceptar  el riesgo</v>
      </c>
      <c r="AQ712" s="358"/>
      <c r="AR712" s="119"/>
    </row>
    <row r="713" spans="2:44" ht="16" hidden="1" customHeight="1" thickTop="1" thickBot="1" x14ac:dyDescent="0.4">
      <c r="B713" s="537"/>
      <c r="C713" s="559"/>
      <c r="D713" s="574"/>
      <c r="E713" s="577"/>
      <c r="F713" s="669"/>
      <c r="G713" s="663"/>
      <c r="H713" s="666"/>
      <c r="I713" s="589"/>
      <c r="J713" s="589"/>
      <c r="K713" s="592"/>
      <c r="L713" s="589"/>
      <c r="M713" s="595"/>
      <c r="N713" s="598"/>
      <c r="O713" s="601"/>
      <c r="P713" s="595"/>
      <c r="Q713" s="604"/>
      <c r="R713" s="601"/>
      <c r="S713" s="286"/>
      <c r="T713" s="604"/>
      <c r="U713" s="142" t="s">
        <v>174</v>
      </c>
      <c r="V713" s="418"/>
      <c r="W713" s="319"/>
      <c r="X713" s="320" t="str">
        <f>IF(W713=[21]Listas!$B$46,[21]Listas!$C$46,IF(W713=[21]Listas!$B$47,[21]Listas!$C$47,IF(W713=[21]Listas!$B$48,[21]Listas!$C$48,"")))</f>
        <v/>
      </c>
      <c r="Y713" s="321" t="str">
        <f>IF(OR(W713=[21]Listas!$F$53,W713=[21]Listas!$F$54),[21]Listas!$G$53,IF(W713=[21]Listas!$F$55,[21]Listas!$G$55,""))</f>
        <v/>
      </c>
      <c r="Z713" s="319"/>
      <c r="AA713" s="182" t="str">
        <f>+IF(Z713=[21]Listas!$E$46,[21]Listas!$F$46,IF(Z713=[21]Listas!$E$47,[21]Listas!$F$47,""))</f>
        <v/>
      </c>
      <c r="AB713" s="183" t="str">
        <f>IFERROR(X713+AA713,"")</f>
        <v/>
      </c>
      <c r="AC713" s="319"/>
      <c r="AD713" s="322"/>
      <c r="AE713" s="323"/>
      <c r="AF713" s="305" t="str">
        <f t="shared" si="99"/>
        <v>Muy baja</v>
      </c>
      <c r="AG713" s="145">
        <f>IF(Y713=[21]Listas!$G$53,AG712-(AG712*AB713),AG712)</f>
        <v>0.12</v>
      </c>
      <c r="AH713" s="562"/>
      <c r="AI713" s="305" t="str">
        <f t="shared" si="102"/>
        <v>Menor</v>
      </c>
      <c r="AJ713" s="145">
        <f>IF(Y713=[21]Listas!$G$55,AJ712-(AJ712*AB713),AJ712)</f>
        <v>0.4</v>
      </c>
      <c r="AK713" s="562"/>
      <c r="AL713" s="565"/>
      <c r="AM713" s="565"/>
      <c r="AN713" s="565"/>
      <c r="AO713" s="568"/>
      <c r="AP713" s="571"/>
      <c r="AQ713" s="345"/>
      <c r="AR713" s="191"/>
    </row>
    <row r="714" spans="2:44" ht="16" hidden="1" customHeight="1" thickTop="1" thickBot="1" x14ac:dyDescent="0.4">
      <c r="B714" s="537"/>
      <c r="C714" s="559"/>
      <c r="D714" s="574"/>
      <c r="E714" s="577"/>
      <c r="F714" s="669"/>
      <c r="G714" s="663"/>
      <c r="H714" s="666"/>
      <c r="I714" s="589"/>
      <c r="J714" s="589"/>
      <c r="K714" s="592"/>
      <c r="L714" s="589"/>
      <c r="M714" s="595"/>
      <c r="N714" s="598"/>
      <c r="O714" s="601"/>
      <c r="P714" s="595"/>
      <c r="Q714" s="604"/>
      <c r="R714" s="601"/>
      <c r="S714" s="287"/>
      <c r="T714" s="604"/>
      <c r="U714" s="142" t="s">
        <v>180</v>
      </c>
      <c r="V714" s="418"/>
      <c r="W714" s="331"/>
      <c r="X714" s="320" t="str">
        <f>IF(W714=[21]Listas!$B$46,[21]Listas!$C$46,IF(W714=[21]Listas!$B$47,[21]Listas!$C$47,IF(W714=[21]Listas!$B$48,[21]Listas!$C$48,"")))</f>
        <v/>
      </c>
      <c r="Y714" s="321" t="str">
        <f>IF(OR(W714=[21]Listas!$F$53,W714=[21]Listas!$F$54),[21]Listas!$G$53,IF(W714=[21]Listas!$F$55,[21]Listas!$G$55,""))</f>
        <v/>
      </c>
      <c r="Z714" s="319"/>
      <c r="AA714" s="182" t="str">
        <f>+IF(Z714=[21]Listas!$E$46,[21]Listas!$F$46,IF(Z714=[21]Listas!$E$47,[21]Listas!$F$47,""))</f>
        <v/>
      </c>
      <c r="AB714" s="183" t="str">
        <f>IFERROR(X714+AA714,"")</f>
        <v/>
      </c>
      <c r="AC714" s="325"/>
      <c r="AD714" s="326"/>
      <c r="AE714" s="327"/>
      <c r="AF714" s="305" t="str">
        <f t="shared" si="99"/>
        <v>Muy baja</v>
      </c>
      <c r="AG714" s="145">
        <f>IF(Y714=[21]Listas!$G$53,AG713-(AG713*AB714),AG713)</f>
        <v>0.12</v>
      </c>
      <c r="AH714" s="562"/>
      <c r="AI714" s="305" t="str">
        <f t="shared" si="102"/>
        <v>Menor</v>
      </c>
      <c r="AJ714" s="145">
        <f>IF(Y714=[21]Listas!$G$55,AJ713-(AJ713*AB714),AJ713)</f>
        <v>0.4</v>
      </c>
      <c r="AK714" s="562"/>
      <c r="AL714" s="565"/>
      <c r="AM714" s="565"/>
      <c r="AN714" s="565"/>
      <c r="AO714" s="568"/>
      <c r="AP714" s="571"/>
      <c r="AQ714" s="345"/>
      <c r="AR714" s="191"/>
    </row>
    <row r="715" spans="2:44" ht="16" hidden="1" customHeight="1" thickTop="1" thickBot="1" x14ac:dyDescent="0.4">
      <c r="B715" s="537"/>
      <c r="C715" s="559"/>
      <c r="D715" s="574"/>
      <c r="E715" s="577"/>
      <c r="F715" s="669"/>
      <c r="G715" s="663"/>
      <c r="H715" s="666"/>
      <c r="I715" s="589"/>
      <c r="J715" s="589"/>
      <c r="K715" s="592"/>
      <c r="L715" s="589"/>
      <c r="M715" s="595"/>
      <c r="N715" s="598"/>
      <c r="O715" s="601"/>
      <c r="P715" s="595"/>
      <c r="Q715" s="604"/>
      <c r="R715" s="601"/>
      <c r="S715" s="287"/>
      <c r="T715" s="604"/>
      <c r="U715" s="142" t="s">
        <v>190</v>
      </c>
      <c r="V715" s="418"/>
      <c r="W715" s="319"/>
      <c r="X715" s="320" t="str">
        <f>IF(W715=[21]Listas!$B$46,[21]Listas!$C$46,IF(W715=[21]Listas!$B$47,[21]Listas!$C$47,IF(W715=[21]Listas!$B$48,[21]Listas!$C$48,"")))</f>
        <v/>
      </c>
      <c r="Y715" s="321" t="str">
        <f>IF(OR(W715=[21]Listas!$F$53,W715=[21]Listas!$F$54),[21]Listas!$G$53,IF(W715=[21]Listas!$F$55,[21]Listas!$G$55,""))</f>
        <v/>
      </c>
      <c r="Z715" s="319"/>
      <c r="AA715" s="182" t="str">
        <f>+IF(Z715=[21]Listas!$E$46,[21]Listas!$F$46,IF(Z715=[21]Listas!$E$47,[21]Listas!$F$47,""))</f>
        <v/>
      </c>
      <c r="AB715" s="183" t="str">
        <f t="shared" ref="AB715:AB721" si="108">IFERROR(X715+AA715,"")</f>
        <v/>
      </c>
      <c r="AC715" s="328"/>
      <c r="AD715" s="329"/>
      <c r="AE715" s="330"/>
      <c r="AF715" s="305" t="str">
        <f t="shared" si="99"/>
        <v>Muy baja</v>
      </c>
      <c r="AG715" s="145">
        <f>IF(Y715=[21]Listas!$G$53,AG714-(AG714*AB715),AG714)</f>
        <v>0.12</v>
      </c>
      <c r="AH715" s="562"/>
      <c r="AI715" s="305" t="str">
        <f t="shared" si="102"/>
        <v>Menor</v>
      </c>
      <c r="AJ715" s="145">
        <f>IF(Y715=[21]Listas!$G$55,AJ714-(AJ714*AB715),AJ714)</f>
        <v>0.4</v>
      </c>
      <c r="AK715" s="562"/>
      <c r="AL715" s="565"/>
      <c r="AM715" s="565"/>
      <c r="AN715" s="565"/>
      <c r="AO715" s="568"/>
      <c r="AP715" s="571"/>
      <c r="AQ715" s="343"/>
      <c r="AR715" s="191"/>
    </row>
    <row r="716" spans="2:44" ht="16" hidden="1" customHeight="1" thickTop="1" thickBot="1" x14ac:dyDescent="0.4">
      <c r="B716" s="537"/>
      <c r="C716" s="559"/>
      <c r="D716" s="574"/>
      <c r="E716" s="577"/>
      <c r="F716" s="669"/>
      <c r="G716" s="663"/>
      <c r="H716" s="666"/>
      <c r="I716" s="589"/>
      <c r="J716" s="589"/>
      <c r="K716" s="592"/>
      <c r="L716" s="589"/>
      <c r="M716" s="595"/>
      <c r="N716" s="598"/>
      <c r="O716" s="601"/>
      <c r="P716" s="595"/>
      <c r="Q716" s="604"/>
      <c r="R716" s="601"/>
      <c r="S716" s="287"/>
      <c r="T716" s="604"/>
      <c r="U716" s="142" t="s">
        <v>198</v>
      </c>
      <c r="V716" s="418"/>
      <c r="W716" s="331"/>
      <c r="X716" s="320" t="str">
        <f>IF(W716=[21]Listas!$B$46,[21]Listas!$C$46,IF(W716=[21]Listas!$B$47,[21]Listas!$C$47,IF(W716=[21]Listas!$B$48,[21]Listas!$C$48,"")))</f>
        <v/>
      </c>
      <c r="Y716" s="321" t="str">
        <f>IF(OR(W716=[21]Listas!$F$53,W716=[21]Listas!$F$54),[21]Listas!$G$53,IF(W716=[21]Listas!$F$55,[21]Listas!$G$55,""))</f>
        <v/>
      </c>
      <c r="Z716" s="331"/>
      <c r="AA716" s="182" t="str">
        <f>+IF(Z716=[21]Listas!$E$46,[21]Listas!$F$46,IF(Z716=[21]Listas!$E$47,[21]Listas!$F$47,""))</f>
        <v/>
      </c>
      <c r="AB716" s="183" t="str">
        <f t="shared" si="108"/>
        <v/>
      </c>
      <c r="AC716" s="319"/>
      <c r="AD716" s="322"/>
      <c r="AE716" s="323"/>
      <c r="AF716" s="305" t="str">
        <f t="shared" ref="AF716:AF779" si="109">IF(AG716="","",IF(AG716&lt;=20%,"Muy baja",IF(AG716&lt;=40%,"Baja",IF(AG716&lt;=60%,"Media",IF(AG716&lt;=80%,"Alta","Muy alta")))))</f>
        <v>Muy baja</v>
      </c>
      <c r="AG716" s="145">
        <f>IF(Y716=[21]Listas!$G$53,AG715-(AG715*AB716),AG715)</f>
        <v>0.12</v>
      </c>
      <c r="AH716" s="562"/>
      <c r="AI716" s="305" t="str">
        <f t="shared" si="102"/>
        <v>Menor</v>
      </c>
      <c r="AJ716" s="145">
        <f>IF(Y716=[21]Listas!$G$55,AJ715-(AJ715*AB716),AJ715)</f>
        <v>0.4</v>
      </c>
      <c r="AK716" s="562"/>
      <c r="AL716" s="565"/>
      <c r="AM716" s="565"/>
      <c r="AN716" s="565"/>
      <c r="AO716" s="568"/>
      <c r="AP716" s="571"/>
      <c r="AQ716" s="343"/>
      <c r="AR716" s="191"/>
    </row>
    <row r="717" spans="2:44" ht="16" hidden="1" customHeight="1" thickTop="1" thickBot="1" x14ac:dyDescent="0.4">
      <c r="B717" s="537"/>
      <c r="C717" s="559"/>
      <c r="D717" s="574"/>
      <c r="E717" s="577"/>
      <c r="F717" s="669"/>
      <c r="G717" s="663"/>
      <c r="H717" s="666"/>
      <c r="I717" s="589"/>
      <c r="J717" s="589"/>
      <c r="K717" s="592"/>
      <c r="L717" s="589"/>
      <c r="M717" s="595"/>
      <c r="N717" s="598"/>
      <c r="O717" s="601"/>
      <c r="P717" s="595"/>
      <c r="Q717" s="604"/>
      <c r="R717" s="601"/>
      <c r="S717" s="288"/>
      <c r="T717" s="604"/>
      <c r="U717" s="142" t="s">
        <v>208</v>
      </c>
      <c r="V717" s="418"/>
      <c r="W717" s="331"/>
      <c r="X717" s="320" t="str">
        <f>IF(W717=[21]Listas!$B$46,[21]Listas!$C$46,IF(W717=[21]Listas!$B$47,[21]Listas!$C$47,IF(W717=[21]Listas!$B$48,[21]Listas!$C$48,"")))</f>
        <v/>
      </c>
      <c r="Y717" s="321" t="str">
        <f>IF(OR(W717=[21]Listas!$F$53,W717=[21]Listas!$F$54),[21]Listas!$G$53,IF(W717=[21]Listas!$F$55,[21]Listas!$G$55,""))</f>
        <v/>
      </c>
      <c r="Z717" s="331"/>
      <c r="AA717" s="182" t="str">
        <f>+IF(Z717=[21]Listas!$E$46,[21]Listas!$F$46,IF(Z717=[21]Listas!$E$47,[21]Listas!$F$47,""))</f>
        <v/>
      </c>
      <c r="AB717" s="183" t="str">
        <f t="shared" si="108"/>
        <v/>
      </c>
      <c r="AC717" s="319"/>
      <c r="AD717" s="322"/>
      <c r="AE717" s="323"/>
      <c r="AF717" s="305" t="str">
        <f t="shared" si="109"/>
        <v>Muy baja</v>
      </c>
      <c r="AG717" s="145">
        <f>IF(Y717=[21]Listas!$G$53,AG716-(AG716*AB717),AG716)</f>
        <v>0.12</v>
      </c>
      <c r="AH717" s="562"/>
      <c r="AI717" s="305" t="str">
        <f t="shared" si="102"/>
        <v>Menor</v>
      </c>
      <c r="AJ717" s="145">
        <f>IF(Y717=[21]Listas!$G$55,AJ716-(AJ716*AB717),AJ716)</f>
        <v>0.4</v>
      </c>
      <c r="AK717" s="562"/>
      <c r="AL717" s="565"/>
      <c r="AM717" s="565"/>
      <c r="AN717" s="565"/>
      <c r="AO717" s="568"/>
      <c r="AP717" s="571"/>
      <c r="AQ717" s="343"/>
      <c r="AR717" s="191"/>
    </row>
    <row r="718" spans="2:44" ht="16" hidden="1" customHeight="1" thickTop="1" thickBot="1" x14ac:dyDescent="0.4">
      <c r="B718" s="537"/>
      <c r="C718" s="559"/>
      <c r="D718" s="574"/>
      <c r="E718" s="577"/>
      <c r="F718" s="669"/>
      <c r="G718" s="663"/>
      <c r="H718" s="666"/>
      <c r="I718" s="589"/>
      <c r="J718" s="589"/>
      <c r="K718" s="592"/>
      <c r="L718" s="589"/>
      <c r="M718" s="595"/>
      <c r="N718" s="598"/>
      <c r="O718" s="601"/>
      <c r="P718" s="595"/>
      <c r="Q718" s="604"/>
      <c r="R718" s="601"/>
      <c r="S718" s="289"/>
      <c r="T718" s="604"/>
      <c r="U718" s="142" t="s">
        <v>215</v>
      </c>
      <c r="V718" s="418"/>
      <c r="W718" s="331"/>
      <c r="X718" s="320" t="str">
        <f>IF(W718=[21]Listas!$B$46,[21]Listas!$C$46,IF(W718=[21]Listas!$B$47,[21]Listas!$C$47,IF(W718=[21]Listas!$B$48,[21]Listas!$C$48,"")))</f>
        <v/>
      </c>
      <c r="Y718" s="321" t="str">
        <f>IF(OR(W718=[21]Listas!$F$53,W718=[21]Listas!$F$54),[21]Listas!$G$53,IF(W718=[21]Listas!$F$55,[21]Listas!$G$55,""))</f>
        <v/>
      </c>
      <c r="Z718" s="331"/>
      <c r="AA718" s="182" t="str">
        <f>+IF(Z718=[21]Listas!$E$46,[21]Listas!$F$46,IF(Z718=[21]Listas!$E$47,[21]Listas!$F$47,""))</f>
        <v/>
      </c>
      <c r="AB718" s="183" t="str">
        <f t="shared" si="108"/>
        <v/>
      </c>
      <c r="AC718" s="319"/>
      <c r="AD718" s="322"/>
      <c r="AE718" s="323"/>
      <c r="AF718" s="305" t="str">
        <f t="shared" si="109"/>
        <v>Muy baja</v>
      </c>
      <c r="AG718" s="145">
        <f>IF(Y718=[21]Listas!$G$53,AG717-(AG717*AB718),AG717)</f>
        <v>0.12</v>
      </c>
      <c r="AH718" s="562"/>
      <c r="AI718" s="305" t="str">
        <f t="shared" si="102"/>
        <v>Menor</v>
      </c>
      <c r="AJ718" s="145">
        <f>IF(Y718=[21]Listas!$G$55,AJ717-(AJ717*AB718),AJ717)</f>
        <v>0.4</v>
      </c>
      <c r="AK718" s="562"/>
      <c r="AL718" s="565"/>
      <c r="AM718" s="565"/>
      <c r="AN718" s="565"/>
      <c r="AO718" s="568"/>
      <c r="AP718" s="571"/>
      <c r="AQ718" s="344"/>
      <c r="AR718" s="191"/>
    </row>
    <row r="719" spans="2:44" ht="16" hidden="1" customHeight="1" thickTop="1" thickBot="1" x14ac:dyDescent="0.4">
      <c r="B719" s="537"/>
      <c r="C719" s="559"/>
      <c r="D719" s="574"/>
      <c r="E719" s="577"/>
      <c r="F719" s="669"/>
      <c r="G719" s="663"/>
      <c r="H719" s="666"/>
      <c r="I719" s="589"/>
      <c r="J719" s="589"/>
      <c r="K719" s="592"/>
      <c r="L719" s="589"/>
      <c r="M719" s="595"/>
      <c r="N719" s="598"/>
      <c r="O719" s="601"/>
      <c r="P719" s="595"/>
      <c r="Q719" s="604"/>
      <c r="R719" s="601"/>
      <c r="S719" s="289"/>
      <c r="T719" s="604"/>
      <c r="U719" s="142" t="s">
        <v>220</v>
      </c>
      <c r="V719" s="418"/>
      <c r="W719" s="331"/>
      <c r="X719" s="320" t="str">
        <f>IF(W719=[21]Listas!$B$46,[21]Listas!$C$46,IF(W719=[21]Listas!$B$47,[21]Listas!$C$47,IF(W719=[21]Listas!$B$48,[21]Listas!$C$48,"")))</f>
        <v/>
      </c>
      <c r="Y719" s="321" t="str">
        <f>IF(OR(W719=[21]Listas!$F$53,W719=[21]Listas!$F$54),[21]Listas!$G$53,IF(W719=[21]Listas!$F$55,[21]Listas!$G$55,""))</f>
        <v/>
      </c>
      <c r="Z719" s="331"/>
      <c r="AA719" s="182" t="str">
        <f>+IF(Z719=[21]Listas!$E$46,[21]Listas!$F$46,IF(Z719=[21]Listas!$E$47,[21]Listas!$F$47,""))</f>
        <v/>
      </c>
      <c r="AB719" s="183" t="str">
        <f t="shared" si="108"/>
        <v/>
      </c>
      <c r="AC719" s="319"/>
      <c r="AD719" s="322"/>
      <c r="AE719" s="323"/>
      <c r="AF719" s="305" t="str">
        <f t="shared" si="109"/>
        <v>Muy baja</v>
      </c>
      <c r="AG719" s="145">
        <f>IF(Y719=[21]Listas!$G$53,AG718-(AG718*AB719),AG718)</f>
        <v>0.12</v>
      </c>
      <c r="AH719" s="562"/>
      <c r="AI719" s="305" t="str">
        <f t="shared" si="102"/>
        <v>Menor</v>
      </c>
      <c r="AJ719" s="145">
        <f>IF(Y719=[21]Listas!$G$55,AJ718-(AJ718*AB719),AJ718)</f>
        <v>0.4</v>
      </c>
      <c r="AK719" s="562"/>
      <c r="AL719" s="565"/>
      <c r="AM719" s="565"/>
      <c r="AN719" s="565"/>
      <c r="AO719" s="568"/>
      <c r="AP719" s="571"/>
      <c r="AQ719" s="345"/>
      <c r="AR719" s="191"/>
    </row>
    <row r="720" spans="2:44" ht="16" hidden="1" customHeight="1" thickTop="1" thickBot="1" x14ac:dyDescent="0.4">
      <c r="B720" s="537"/>
      <c r="C720" s="559"/>
      <c r="D720" s="574"/>
      <c r="E720" s="577"/>
      <c r="F720" s="669"/>
      <c r="G720" s="663"/>
      <c r="H720" s="666"/>
      <c r="I720" s="589"/>
      <c r="J720" s="589"/>
      <c r="K720" s="592"/>
      <c r="L720" s="589"/>
      <c r="M720" s="595"/>
      <c r="N720" s="598"/>
      <c r="O720" s="601"/>
      <c r="P720" s="595"/>
      <c r="Q720" s="604"/>
      <c r="R720" s="601"/>
      <c r="S720" s="289"/>
      <c r="T720" s="604"/>
      <c r="U720" s="142" t="s">
        <v>223</v>
      </c>
      <c r="V720" s="418"/>
      <c r="W720" s="331"/>
      <c r="X720" s="320" t="str">
        <f>IF(W720=[21]Listas!$B$46,[21]Listas!$C$46,IF(W720=[21]Listas!$B$47,[21]Listas!$C$47,IF(W720=[21]Listas!$B$48,[21]Listas!$C$48,"")))</f>
        <v/>
      </c>
      <c r="Y720" s="321" t="str">
        <f>IF(OR(W720=[21]Listas!$F$53,W720=[21]Listas!$F$54),[21]Listas!$G$53,IF(W720=[21]Listas!$F$55,[21]Listas!$G$55,""))</f>
        <v/>
      </c>
      <c r="Z720" s="331"/>
      <c r="AA720" s="182" t="str">
        <f>+IF(Z720=[21]Listas!$E$46,[21]Listas!$F$46,IF(Z720=[21]Listas!$E$47,[21]Listas!$F$47,""))</f>
        <v/>
      </c>
      <c r="AB720" s="183" t="str">
        <f t="shared" si="108"/>
        <v/>
      </c>
      <c r="AC720" s="319"/>
      <c r="AD720" s="322"/>
      <c r="AE720" s="323"/>
      <c r="AF720" s="305" t="str">
        <f t="shared" si="109"/>
        <v>Muy baja</v>
      </c>
      <c r="AG720" s="145">
        <f>IF(Y720=[21]Listas!$G$53,AG719-(AG719*AB720),AG719)</f>
        <v>0.12</v>
      </c>
      <c r="AH720" s="562"/>
      <c r="AI720" s="305" t="str">
        <f t="shared" si="102"/>
        <v>Menor</v>
      </c>
      <c r="AJ720" s="145">
        <f>IF(Y720=[21]Listas!$G$55,AJ719-(AJ719*AB720),AJ719)</f>
        <v>0.4</v>
      </c>
      <c r="AK720" s="562"/>
      <c r="AL720" s="565"/>
      <c r="AM720" s="565"/>
      <c r="AN720" s="565"/>
      <c r="AO720" s="568"/>
      <c r="AP720" s="571"/>
      <c r="AQ720" s="345"/>
      <c r="AR720" s="191"/>
    </row>
    <row r="721" spans="2:44" ht="16" hidden="1" customHeight="1" thickTop="1" thickBot="1" x14ac:dyDescent="0.4">
      <c r="B721" s="537"/>
      <c r="C721" s="559"/>
      <c r="D721" s="575"/>
      <c r="E721" s="578"/>
      <c r="F721" s="670"/>
      <c r="G721" s="664"/>
      <c r="H721" s="667"/>
      <c r="I721" s="590"/>
      <c r="J721" s="590"/>
      <c r="K721" s="593"/>
      <c r="L721" s="590"/>
      <c r="M721" s="596"/>
      <c r="N721" s="599"/>
      <c r="O721" s="602"/>
      <c r="P721" s="596"/>
      <c r="Q721" s="605"/>
      <c r="R721" s="602"/>
      <c r="S721" s="293"/>
      <c r="T721" s="605"/>
      <c r="U721" s="202" t="s">
        <v>224</v>
      </c>
      <c r="V721" s="416"/>
      <c r="W721" s="335"/>
      <c r="X721" s="336" t="str">
        <f>IF(W721=[21]Listas!$B$46,[21]Listas!$C$46,IF(W721=[21]Listas!$B$47,[21]Listas!$C$47,IF(W721=[21]Listas!$B$48,[21]Listas!$C$48,"")))</f>
        <v/>
      </c>
      <c r="Y721" s="337" t="str">
        <f>IF(OR(W721=[21]Listas!$F$53,W721=[21]Listas!$F$54),[21]Listas!$G$53,IF(W721=[21]Listas!$F$55,[21]Listas!$G$55,""))</f>
        <v/>
      </c>
      <c r="Z721" s="335"/>
      <c r="AA721" s="186" t="str">
        <f>+IF(Z721=[21]Listas!$E$46,[21]Listas!$F$46,IF(Z721=[21]Listas!$E$47,[21]Listas!$F$47,""))</f>
        <v/>
      </c>
      <c r="AB721" s="187" t="str">
        <f t="shared" si="108"/>
        <v/>
      </c>
      <c r="AC721" s="338"/>
      <c r="AD721" s="339"/>
      <c r="AE721" s="340"/>
      <c r="AF721" s="311" t="str">
        <f t="shared" si="109"/>
        <v>Muy baja</v>
      </c>
      <c r="AG721" s="179">
        <f>IF(Y721=[21]Listas!$G$53,AG720-(AG720*AB721),AG720)</f>
        <v>0.12</v>
      </c>
      <c r="AH721" s="563"/>
      <c r="AI721" s="311" t="str">
        <f t="shared" si="102"/>
        <v>Menor</v>
      </c>
      <c r="AJ721" s="179">
        <f>IF(Y721=[21]Listas!$G$55,AJ720-(AJ720*AB721),AJ720)</f>
        <v>0.4</v>
      </c>
      <c r="AK721" s="563"/>
      <c r="AL721" s="566"/>
      <c r="AM721" s="566"/>
      <c r="AN721" s="566"/>
      <c r="AO721" s="569"/>
      <c r="AP721" s="572"/>
      <c r="AQ721" s="346"/>
      <c r="AR721" s="192"/>
    </row>
    <row r="722" spans="2:44" ht="264.75" customHeight="1" thickTop="1" thickBot="1" x14ac:dyDescent="0.4">
      <c r="B722" s="537"/>
      <c r="C722" s="559"/>
      <c r="D722" s="609" t="s">
        <v>846</v>
      </c>
      <c r="E722" s="576" t="s">
        <v>4</v>
      </c>
      <c r="F722" s="645" t="s">
        <v>847</v>
      </c>
      <c r="G722" s="662" t="s">
        <v>848</v>
      </c>
      <c r="H722" s="665" t="s">
        <v>849</v>
      </c>
      <c r="I722" s="588" t="s">
        <v>20</v>
      </c>
      <c r="J722" s="588" t="s">
        <v>22</v>
      </c>
      <c r="K722" s="591" t="s">
        <v>850</v>
      </c>
      <c r="L722" s="588" t="s">
        <v>168</v>
      </c>
      <c r="M722" s="594" t="s">
        <v>214</v>
      </c>
      <c r="N722" s="597" t="str">
        <f>+IF(M722="","",IF(M722=$BO$15,$BN$15,IF(M722=$BO$16,$BN$16,IF(M722=$BO$17,$BN$17,IF(M722=$BO$18,$BN$18,IF(M722=$BO$19,$BN$19))))))</f>
        <v>Media</v>
      </c>
      <c r="O722" s="600">
        <f>+IF(M722="","",IF(M722=$BO$15,$BR$15,IF(M722=$BO$16,$BR$16,IF(M722=$BO$17,$BR$17,IF(M722=$BO$18,$BR$18,IF(M722=$BO$19,$BR$19))))))</f>
        <v>0.6</v>
      </c>
      <c r="P722" s="594" t="s">
        <v>212</v>
      </c>
      <c r="Q722" s="603" t="str">
        <f>+IF(P722="","",IF(P722='[22]Mapa de Calor inherente'!$AF$6,'[22]Mapa de Calor inherente'!$AD$6,IF(P722='[22]Mapa de Calor inherente'!$AF$7,'[22]Mapa de Calor inherente'!$AD$7,IF(P722='[22]Mapa de Calor inherente'!$AF$8,'[22]Mapa de Calor inherente'!$AD$8,IF(P722='[22]Mapa de Calor inherente'!$AF$9,'[22]Mapa de Calor inherente'!$AD$9,IF(P722='[22]Mapa de Calor inherente'!$AF$10,'[22]Mapa de Calor inherente'!$AD$10,IF(P722='[22]Mapa de Calor inherente'!$AG$6,'[22]Mapa de Calor inherente'!$AD$6,IF(P722='[22]Mapa de Calor inherente'!$AG$7,'[22]Mapa de Calor inherente'!$AD$7,IF(P722='[22]Mapa de Calor inherente'!$AG$8,'[22]Mapa de Calor inherente'!$AD$8,IF(P722='[22]Mapa de Calor inherente'!$AG$9,'[22]Mapa de Calor inherente'!$AD$9,IF(P722='[22]Mapa de Calor inherente'!$AG$10,'[22]Mapa de Calor inherente'!$AD$10,IF(P722='[22]Mapa de Calor inherente'!$AD$8,'[22]Mapa de Calor inherente'!$AD$8,IF(P722='[22]Mapa de Calor inherente'!$AD$9,'[22]Mapa de Calor inherente'!$AD$9,IF(P722='[22]Mapa de Calor inherente'!$AD$10,'[22]Mapa de Calor inherente'!$AD$10))))))))))))))</f>
        <v>Moderado</v>
      </c>
      <c r="R722" s="600">
        <f>+IF(P722="","",IF(P722='[22]Mapa de Calor inherente'!$AF$6,'[22]Mapa de Calor inherente'!$AE$6,IF(P722='[22]Mapa de Calor inherente'!$AF$7,'[22]Mapa de Calor inherente'!$AE$7,IF(P722='[22]Mapa de Calor inherente'!$AF$8,'[22]Mapa de Calor inherente'!$AE$8,IF(P722='[22]Mapa de Calor inherente'!$AF$9,'[22]Mapa de Calor inherente'!$AE$9,IF(P722='[22]Mapa de Calor inherente'!$AF$10,'[22]Mapa de Calor inherente'!$AE$10,IF(P722='[22]Mapa de Calor inherente'!$AG$6,'[22]Mapa de Calor inherente'!$AE$6,IF(P722='[22]Mapa de Calor inherente'!$AG$7,'[22]Mapa de Calor inherente'!$AE$7,IF(P722='[22]Mapa de Calor inherente'!$AG$8,'[22]Mapa de Calor inherente'!$AE$8,IF(P722='[22]Mapa de Calor inherente'!$AG$9,'[22]Mapa de Calor inherente'!$AE$9,IF(P722='[22]Mapa de Calor inherente'!$AG$10,'[22]Mapa de Calor inherente'!$AE$10,IF(P722='[22]Mapa de Calor inherente'!$AD$8,'[22]Mapa de Calor inherente'!$AE$8,IF(P722='[22]Mapa de Calor inherente'!$AD$9,'[22]Mapa de Calor inherente'!$AE$9,IF(P722='[22]Mapa de Calor inherente'!$AD$10,'[22]Mapa de Calor inherente'!$AE$10))))))))))))))</f>
        <v>0.6</v>
      </c>
      <c r="S722" s="292"/>
      <c r="T722" s="606" t="str">
        <f>+IF(N722=$BB$17,IF(Q722=$BC$16,$BC$17,IF(Q722=$BD$16,$BD$17,IF(Q722=$BE$16,$BE$17,IF(Q722=$BF$16,$BF$17,IF(Q722=$BG$16,$BG$17))))),IF(N722=$BB$18,IF(Q722=$BC$16,$BC$18,IF(Q722=$BD$16,$BD$18,IF(Q722=$BE$16,$BE$18,IF(Q722=$BF$16,$BF$18,IF(Q722=$BG$16,$BG$18))))),IF(N722=$BB$19,IF(Q722=$BC$16,$BC$19,IF(Q722=$BD$16,$BD$19,IF(Q722=$BE$16,$BE$19,IF(Q722=$BF$16,$BF$19,IF(Q722=$BG$16,$BG$19))))),IF(N722=$BB$20,IF(Q722=$BC$16,$BC$20,IF(Q722=$BD$16,$BD$20,IF(Q722=$BE$16,$BE$20,IF(Q722=$BF$16,$BF$20,IF(Q722=$BG$16,$BG$20))))),IF(N722=$BB$21,IF(Q722=$BC$16,$BC$21,IF(Q722=$BD$16,$BD$21,IF(Q722=$BE$16,$BE$21,IF(Q722=$BF$16,$BF$21,IF(Q722=$BG$16,$BG$21))))),"")))))</f>
        <v>Moderado</v>
      </c>
      <c r="U722" s="139" t="s">
        <v>171</v>
      </c>
      <c r="V722" s="488" t="s">
        <v>851</v>
      </c>
      <c r="W722" s="313" t="s">
        <v>40</v>
      </c>
      <c r="X722" s="314">
        <f>IF(W722=[22]Listas!$B$46,[22]Listas!$C$46,IF(W722=[22]Listas!$B$47,[22]Listas!$C$47,IF(W722=[22]Listas!$B$48,[22]Listas!$C$48,"")))</f>
        <v>0.25</v>
      </c>
      <c r="Y722" s="315" t="str">
        <f>IF(OR(W722=[22]Listas!$F$53,W722=[22]Listas!$F$54),[22]Listas!$G$53,IF(W722=[22]Listas!$F$55,[22]Listas!$G$55,""))</f>
        <v>Probabilidad</v>
      </c>
      <c r="Z722" s="313" t="s">
        <v>43</v>
      </c>
      <c r="AA722" s="314">
        <f>+IF(Z722=[22]Listas!$E$46,[22]Listas!$F$46,IF(Z722=[22]Listas!$E$47,[22]Listas!$F$47,""))</f>
        <v>0.15</v>
      </c>
      <c r="AB722" s="181">
        <f>IFERROR(X722+AA722,"")</f>
        <v>0.4</v>
      </c>
      <c r="AC722" s="313" t="s">
        <v>57</v>
      </c>
      <c r="AD722" s="316" t="s">
        <v>58</v>
      </c>
      <c r="AE722" s="317" t="s">
        <v>59</v>
      </c>
      <c r="AF722" s="299" t="str">
        <f t="shared" si="109"/>
        <v>Baja</v>
      </c>
      <c r="AG722" s="141">
        <f>IF(Y722=[22]Listas!$G$53,O722-(O722*AB722),O722)</f>
        <v>0.36</v>
      </c>
      <c r="AH722" s="561">
        <f>+IF(AG731="","",AG731)</f>
        <v>0.10584</v>
      </c>
      <c r="AI722" s="299" t="str">
        <f>IF(AJ722="","",IF(AJ722&lt;=20%,"Leve",IF(AJ722&lt;=40%,"Menor",IF(AJ722&lt;=60%,"Moderado",IF(AJ722&lt;=80%,"Mayor","Catastrófico")))))</f>
        <v>Moderado</v>
      </c>
      <c r="AJ722" s="141">
        <f>IF(Y722=[22]Listas!$G$55,R722-(R722*AB722),R722)</f>
        <v>0.6</v>
      </c>
      <c r="AK722" s="561">
        <f>+IF(AJ731="","",AJ731)</f>
        <v>0.6</v>
      </c>
      <c r="AL722" s="564" t="str">
        <f>+IF(AH722=0,"",IF(AH722&lt;=$BA$21,$BB$21,IF(AH722&lt;=$BA$20,$BB$20,IF(AH722&lt;=$BA$19,$BB$19,IF(AH722&lt;=$BA$18,$BB$18,IF(AH722&lt;=$BA$17,$BB$17,""))))))</f>
        <v>Muy Baja</v>
      </c>
      <c r="AM722" s="564" t="str">
        <f>+IF(AK722=0,"",IF(AK722&lt;=$BC$15,$BC$16,IF(AK722&lt;=$BD$15,$BD$16,IF(AK722&lt;=$BE$15,$BE$16,IF(AK722&lt;=$BF$15,$BF$16,IF(AK722&lt;=$BG$15,$BG$16,""))))))</f>
        <v>Moderado</v>
      </c>
      <c r="AN722" s="564" t="str">
        <f>IF(AL722=$BB$17,IF(AM722=$BC$16,$BC$17,IF(AM722=$BD$16,$BD$17,IF(AM722=$BE$16,$BE$17,IF(AM722=$BF$16,$BF$17,IF(AM722=$BG$16,$BG$17))))),IF(AL722=$BB$18,IF(AM722=$BC$16,$BC$18,IF(AM722=$BD$16,$BD$18,IF(AM722=$BE$16,$BE$18,IF(AM722=$BF$16,$BF$18,IF(AM722=$BG$16,$BG$18))))),IF(AL722=$BB$19,IF(AM722=$BC$16,$BC$19,IF(AM722=$BD$16,$BD$19,IF(AM722=$BE$16,$BE$19,IF(AM722=$BF$16,$BF$19,IF(AM722=$BG$16,$BG$19))))),IF(AL722=$BB$20,IF(AM722=$BC$16,$BC$20,IF(AM722=$BD$16,$BD$20,IF(AM722=$BE$16,$BE$20,IF(AM722=$BF$16,$BF$20,IF(AM722=$BG$16,$BG$20))))),IF(AL722=$BB$21,IF(AM722=$BC$16,$BC$21,IF(AM722=$BD$16,$BD$21,IF(AM722=$BE$16,$BE$21,IF(AM722=$BF$16,$BF$21,IF(AM722=$BG$16,$BG$21))))),"")))))</f>
        <v>Moderado</v>
      </c>
      <c r="AO722" s="567" t="str">
        <f>IF(AP722="","",IF(AP722=[22]Listas!$F$61,[22]Listas!$G$61,IF(AP722=[22]Listas!$F$63,[22]Listas!$G$63,IF(AP722=[22]Listas!$F$64,[22]Listas!$G$64))))</f>
        <v>Requiere Plan de Acción</v>
      </c>
      <c r="AP722" s="570" t="str">
        <f>IF(AN722="","",IF(OR(AN722=[22]Listas!$E$61,AN722=[22]Listas!$E$62),[22]Listas!$F$61,IF(AN722=[22]Listas!$E$63,[22]Listas!$F$63,IF(AN722=[22]Listas!$E$64,[22]Listas!$F$64))))</f>
        <v>Aceptar o reducir el riesgo</v>
      </c>
      <c r="AQ722" s="381" t="s">
        <v>80</v>
      </c>
      <c r="AR722" s="116" t="s">
        <v>852</v>
      </c>
    </row>
    <row r="723" spans="2:44" ht="324.75" customHeight="1" thickTop="1" thickBot="1" x14ac:dyDescent="0.4">
      <c r="B723" s="537"/>
      <c r="C723" s="559"/>
      <c r="D723" s="610"/>
      <c r="E723" s="577"/>
      <c r="F723" s="646"/>
      <c r="G723" s="663"/>
      <c r="H723" s="666"/>
      <c r="I723" s="589"/>
      <c r="J723" s="589"/>
      <c r="K723" s="592"/>
      <c r="L723" s="589"/>
      <c r="M723" s="595"/>
      <c r="N723" s="598"/>
      <c r="O723" s="601"/>
      <c r="P723" s="595"/>
      <c r="Q723" s="604"/>
      <c r="R723" s="601"/>
      <c r="S723" s="286"/>
      <c r="T723" s="607"/>
      <c r="U723" s="142" t="s">
        <v>174</v>
      </c>
      <c r="V723" s="504" t="s">
        <v>853</v>
      </c>
      <c r="W723" s="319" t="s">
        <v>40</v>
      </c>
      <c r="X723" s="320">
        <f>IF(W723=[22]Listas!$B$46,[22]Listas!$C$46,IF(W723=[22]Listas!$B$47,[22]Listas!$C$47,IF(W723=[22]Listas!$B$48,[22]Listas!$C$48,"")))</f>
        <v>0.25</v>
      </c>
      <c r="Y723" s="321" t="str">
        <f>IF(OR(W723=[22]Listas!$F$53,W723=[22]Listas!$F$54),[22]Listas!$G$53,IF(W723=[22]Listas!$F$55,[22]Listas!$G$55,""))</f>
        <v>Probabilidad</v>
      </c>
      <c r="Z723" s="319" t="s">
        <v>43</v>
      </c>
      <c r="AA723" s="182">
        <f>+IF(Z723=[22]Listas!$E$46,[22]Listas!$F$46,IF(Z723=[22]Listas!$E$47,[22]Listas!$F$47,""))</f>
        <v>0.15</v>
      </c>
      <c r="AB723" s="183">
        <f>IFERROR(X723+AA723,"")</f>
        <v>0.4</v>
      </c>
      <c r="AC723" s="319" t="s">
        <v>57</v>
      </c>
      <c r="AD723" s="322" t="s">
        <v>58</v>
      </c>
      <c r="AE723" s="323" t="s">
        <v>59</v>
      </c>
      <c r="AF723" s="305" t="str">
        <f t="shared" si="109"/>
        <v>Baja</v>
      </c>
      <c r="AG723" s="145">
        <f>IF(Y723=[22]Listas!$G$53,AG722-(AG722*AB723),AG722)</f>
        <v>0.216</v>
      </c>
      <c r="AH723" s="562"/>
      <c r="AI723" s="305" t="str">
        <f t="shared" ref="AI723:AI781" si="110">IF(AJ723="","",IF(AJ723&lt;=20%,"Leve",IF(AJ723&lt;=40%,"Menor",IF(AJ723&lt;=60%,"Moderado",IF(AJ723&lt;=80%,"Mayor","Catastrófico")))))</f>
        <v>Moderado</v>
      </c>
      <c r="AJ723" s="145">
        <f>IF(Y723=[22]Listas!$G$55,AJ722-(AJ722*AB723),AJ722)</f>
        <v>0.6</v>
      </c>
      <c r="AK723" s="562"/>
      <c r="AL723" s="565"/>
      <c r="AM723" s="565"/>
      <c r="AN723" s="565"/>
      <c r="AO723" s="568"/>
      <c r="AP723" s="571"/>
      <c r="AQ723" s="382" t="s">
        <v>80</v>
      </c>
      <c r="AR723" s="117" t="s">
        <v>854</v>
      </c>
    </row>
    <row r="724" spans="2:44" ht="239.25" customHeight="1" thickTop="1" thickBot="1" x14ac:dyDescent="0.4">
      <c r="B724" s="537"/>
      <c r="C724" s="559"/>
      <c r="D724" s="610"/>
      <c r="E724" s="577"/>
      <c r="F724" s="646"/>
      <c r="G724" s="663"/>
      <c r="H724" s="666"/>
      <c r="I724" s="589"/>
      <c r="J724" s="589"/>
      <c r="K724" s="592"/>
      <c r="L724" s="589"/>
      <c r="M724" s="595"/>
      <c r="N724" s="598"/>
      <c r="O724" s="601"/>
      <c r="P724" s="595"/>
      <c r="Q724" s="604"/>
      <c r="R724" s="601"/>
      <c r="S724" s="287"/>
      <c r="T724" s="607"/>
      <c r="U724" s="142" t="s">
        <v>180</v>
      </c>
      <c r="V724" s="505" t="s">
        <v>855</v>
      </c>
      <c r="W724" s="319" t="s">
        <v>42</v>
      </c>
      <c r="X724" s="320">
        <f>IF(W724=[22]Listas!$B$46,[22]Listas!$C$46,IF(W724=[22]Listas!$B$47,[22]Listas!$C$47,IF(W724=[22]Listas!$B$48,[22]Listas!$C$48,"")))</f>
        <v>0.15</v>
      </c>
      <c r="Y724" s="321" t="str">
        <f>IF(OR(W724=[22]Listas!$F$53,W724=[22]Listas!$F$54),[22]Listas!$G$53,IF(W724=[22]Listas!$F$55,[22]Listas!$G$55,""))</f>
        <v>Probabilidad</v>
      </c>
      <c r="Z724" s="319" t="s">
        <v>43</v>
      </c>
      <c r="AA724" s="182">
        <f>+IF(Z724=[22]Listas!$E$46,[22]Listas!$F$46,IF(Z724=[22]Listas!$E$47,[22]Listas!$F$47,""))</f>
        <v>0.15</v>
      </c>
      <c r="AB724" s="183">
        <f>IFERROR(X724+AA724,"")</f>
        <v>0.3</v>
      </c>
      <c r="AC724" s="319" t="s">
        <v>57</v>
      </c>
      <c r="AD724" s="322" t="s">
        <v>58</v>
      </c>
      <c r="AE724" s="323" t="s">
        <v>59</v>
      </c>
      <c r="AF724" s="305" t="str">
        <f t="shared" si="109"/>
        <v>Muy baja</v>
      </c>
      <c r="AG724" s="145">
        <f>IF(Y724=[22]Listas!$G$53,AG723-(AG723*AB724),AG723)</f>
        <v>0.1512</v>
      </c>
      <c r="AH724" s="562"/>
      <c r="AI724" s="305" t="str">
        <f t="shared" si="110"/>
        <v>Moderado</v>
      </c>
      <c r="AJ724" s="145">
        <f>IF(Y724=[22]Listas!$G$55,AJ723-(AJ723*AB724),AJ723)</f>
        <v>0.6</v>
      </c>
      <c r="AK724" s="562"/>
      <c r="AL724" s="565"/>
      <c r="AM724" s="565"/>
      <c r="AN724" s="565"/>
      <c r="AO724" s="568"/>
      <c r="AP724" s="571"/>
      <c r="AQ724" s="382" t="s">
        <v>90</v>
      </c>
      <c r="AR724" s="408" t="s">
        <v>856</v>
      </c>
    </row>
    <row r="725" spans="2:44" ht="153.75" customHeight="1" thickTop="1" thickBot="1" x14ac:dyDescent="0.4">
      <c r="B725" s="537"/>
      <c r="C725" s="559"/>
      <c r="D725" s="610"/>
      <c r="E725" s="577"/>
      <c r="F725" s="646"/>
      <c r="G725" s="663"/>
      <c r="H725" s="666"/>
      <c r="I725" s="589"/>
      <c r="J725" s="589"/>
      <c r="K725" s="592"/>
      <c r="L725" s="589"/>
      <c r="M725" s="595"/>
      <c r="N725" s="598"/>
      <c r="O725" s="601"/>
      <c r="P725" s="595"/>
      <c r="Q725" s="604"/>
      <c r="R725" s="601"/>
      <c r="S725" s="287"/>
      <c r="T725" s="607"/>
      <c r="U725" s="142" t="s">
        <v>190</v>
      </c>
      <c r="V725" s="505" t="s">
        <v>857</v>
      </c>
      <c r="W725" s="319" t="s">
        <v>42</v>
      </c>
      <c r="X725" s="320">
        <f>IF(W725=[22]Listas!$B$46,[22]Listas!$C$46,IF(W725=[22]Listas!$B$47,[22]Listas!$C$47,IF(W725=[22]Listas!$B$48,[22]Listas!$C$48,"")))</f>
        <v>0.15</v>
      </c>
      <c r="Y725" s="321" t="str">
        <f>IF(OR(W725=[22]Listas!$F$53,W725=[22]Listas!$F$54),[22]Listas!$G$53,IF(W725=[22]Listas!$F$55,[22]Listas!$G$55,""))</f>
        <v>Probabilidad</v>
      </c>
      <c r="Z725" s="319" t="s">
        <v>43</v>
      </c>
      <c r="AA725" s="182">
        <f>+IF(Z725=[22]Listas!$E$46,[22]Listas!$F$46,IF(Z725=[22]Listas!$E$47,[22]Listas!$F$47,""))</f>
        <v>0.15</v>
      </c>
      <c r="AB725" s="183">
        <f t="shared" ref="AB725:AB731" si="111">IFERROR(X725+AA725,"")</f>
        <v>0.3</v>
      </c>
      <c r="AC725" s="319" t="s">
        <v>57</v>
      </c>
      <c r="AD725" s="322" t="s">
        <v>58</v>
      </c>
      <c r="AE725" s="323" t="s">
        <v>59</v>
      </c>
      <c r="AF725" s="305" t="str">
        <f t="shared" si="109"/>
        <v>Muy baja</v>
      </c>
      <c r="AG725" s="145">
        <f>IF(Y725=[22]Listas!$G$53,AG724-(AG724*AB725),AG724)</f>
        <v>0.10584</v>
      </c>
      <c r="AH725" s="562"/>
      <c r="AI725" s="305" t="str">
        <f t="shared" si="110"/>
        <v>Moderado</v>
      </c>
      <c r="AJ725" s="145">
        <f>IF(Y725=[22]Listas!$G$55,AJ724-(AJ724*AB725),AJ724)</f>
        <v>0.6</v>
      </c>
      <c r="AK725" s="562"/>
      <c r="AL725" s="565"/>
      <c r="AM725" s="565"/>
      <c r="AN725" s="565"/>
      <c r="AO725" s="568"/>
      <c r="AP725" s="571"/>
      <c r="AQ725" s="324"/>
      <c r="AR725" s="257"/>
    </row>
    <row r="726" spans="2:44" ht="15" hidden="1" customHeight="1" thickBot="1" x14ac:dyDescent="0.4">
      <c r="B726" s="537"/>
      <c r="C726" s="280"/>
      <c r="D726" s="610"/>
      <c r="E726" s="577"/>
      <c r="F726" s="646"/>
      <c r="G726" s="663"/>
      <c r="H726" s="666"/>
      <c r="I726" s="589"/>
      <c r="J726" s="589"/>
      <c r="K726" s="592"/>
      <c r="L726" s="589"/>
      <c r="M726" s="595"/>
      <c r="N726" s="598"/>
      <c r="O726" s="601"/>
      <c r="P726" s="595"/>
      <c r="Q726" s="604"/>
      <c r="R726" s="601"/>
      <c r="S726" s="287"/>
      <c r="T726" s="607"/>
      <c r="U726" s="142" t="s">
        <v>198</v>
      </c>
      <c r="V726" s="415"/>
      <c r="W726" s="331"/>
      <c r="X726" s="320" t="str">
        <f>IF(W726=[22]Listas!$B$46,[22]Listas!$C$46,IF(W726=[22]Listas!$B$47,[22]Listas!$C$47,IF(W726=[22]Listas!$B$48,[22]Listas!$C$48,"")))</f>
        <v/>
      </c>
      <c r="Y726" s="321" t="str">
        <f>IF(OR(W726=[22]Listas!$F$53,W726=[22]Listas!$F$54),[22]Listas!$G$53,IF(W726=[22]Listas!$F$55,[22]Listas!$G$55,""))</f>
        <v/>
      </c>
      <c r="Z726" s="331"/>
      <c r="AA726" s="182" t="str">
        <f>+IF(Z726=[22]Listas!$E$46,[22]Listas!$F$46,IF(Z726=[22]Listas!$E$47,[22]Listas!$F$47,""))</f>
        <v/>
      </c>
      <c r="AB726" s="183" t="str">
        <f t="shared" si="111"/>
        <v/>
      </c>
      <c r="AC726" s="319"/>
      <c r="AD726" s="322"/>
      <c r="AE726" s="323"/>
      <c r="AF726" s="305" t="str">
        <f t="shared" si="109"/>
        <v>Muy baja</v>
      </c>
      <c r="AG726" s="145">
        <f>IF(Y726=[22]Listas!$G$53,AG725-(AG725*AB726),AG725)</f>
        <v>0.10584</v>
      </c>
      <c r="AH726" s="562"/>
      <c r="AI726" s="305" t="str">
        <f t="shared" si="110"/>
        <v>Moderado</v>
      </c>
      <c r="AJ726" s="145">
        <f>IF(Y726=[22]Listas!$G$55,AJ725-(AJ725*AB726),AJ725)</f>
        <v>0.6</v>
      </c>
      <c r="AK726" s="562"/>
      <c r="AL726" s="565"/>
      <c r="AM726" s="565"/>
      <c r="AN726" s="565"/>
      <c r="AO726" s="568"/>
      <c r="AP726" s="571"/>
      <c r="AQ726" s="324"/>
      <c r="AR726" s="185"/>
    </row>
    <row r="727" spans="2:44" ht="15.75" hidden="1" customHeight="1" x14ac:dyDescent="0.35">
      <c r="B727" s="537"/>
      <c r="C727" s="280"/>
      <c r="D727" s="610"/>
      <c r="E727" s="577"/>
      <c r="F727" s="646"/>
      <c r="G727" s="663"/>
      <c r="H727" s="666"/>
      <c r="I727" s="589"/>
      <c r="J727" s="589"/>
      <c r="K727" s="592"/>
      <c r="L727" s="589"/>
      <c r="M727" s="595"/>
      <c r="N727" s="598"/>
      <c r="O727" s="601"/>
      <c r="P727" s="595"/>
      <c r="Q727" s="604"/>
      <c r="R727" s="601"/>
      <c r="S727" s="288"/>
      <c r="T727" s="607"/>
      <c r="U727" s="142" t="s">
        <v>208</v>
      </c>
      <c r="V727" s="415"/>
      <c r="W727" s="331"/>
      <c r="X727" s="320" t="str">
        <f>IF(W727=[22]Listas!$B$46,[22]Listas!$C$46,IF(W727=[22]Listas!$B$47,[22]Listas!$C$47,IF(W727=[22]Listas!$B$48,[22]Listas!$C$48,"")))</f>
        <v/>
      </c>
      <c r="Y727" s="321" t="str">
        <f>IF(OR(W727=[22]Listas!$F$53,W727=[22]Listas!$F$54),[22]Listas!$G$53,IF(W727=[22]Listas!$F$55,[22]Listas!$G$55,""))</f>
        <v/>
      </c>
      <c r="Z727" s="331"/>
      <c r="AA727" s="182" t="str">
        <f>+IF(Z727=[22]Listas!$E$46,[22]Listas!$F$46,IF(Z727=[22]Listas!$E$47,[22]Listas!$F$47,""))</f>
        <v/>
      </c>
      <c r="AB727" s="183" t="str">
        <f t="shared" si="111"/>
        <v/>
      </c>
      <c r="AC727" s="319"/>
      <c r="AD727" s="322"/>
      <c r="AE727" s="323"/>
      <c r="AF727" s="305" t="str">
        <f t="shared" si="109"/>
        <v>Muy baja</v>
      </c>
      <c r="AG727" s="145">
        <f>IF(Y727=[22]Listas!$G$53,AG726-(AG726*AB727),AG726)</f>
        <v>0.10584</v>
      </c>
      <c r="AH727" s="562"/>
      <c r="AI727" s="305" t="str">
        <f t="shared" si="110"/>
        <v>Moderado</v>
      </c>
      <c r="AJ727" s="145">
        <f>IF(Y727=[22]Listas!$G$55,AJ726-(AJ726*AB727),AJ726)</f>
        <v>0.6</v>
      </c>
      <c r="AK727" s="562"/>
      <c r="AL727" s="565"/>
      <c r="AM727" s="565"/>
      <c r="AN727" s="565"/>
      <c r="AO727" s="568"/>
      <c r="AP727" s="571"/>
      <c r="AQ727" s="332"/>
      <c r="AR727" s="185"/>
    </row>
    <row r="728" spans="2:44" ht="15" hidden="1" customHeight="1" thickTop="1" x14ac:dyDescent="0.35">
      <c r="B728" s="537"/>
      <c r="C728" s="280"/>
      <c r="D728" s="610"/>
      <c r="E728" s="577"/>
      <c r="F728" s="646"/>
      <c r="G728" s="663"/>
      <c r="H728" s="666"/>
      <c r="I728" s="589"/>
      <c r="J728" s="589"/>
      <c r="K728" s="592"/>
      <c r="L728" s="589"/>
      <c r="M728" s="595"/>
      <c r="N728" s="598"/>
      <c r="O728" s="601"/>
      <c r="P728" s="595"/>
      <c r="Q728" s="604"/>
      <c r="R728" s="601"/>
      <c r="S728" s="289"/>
      <c r="T728" s="607"/>
      <c r="U728" s="142" t="s">
        <v>215</v>
      </c>
      <c r="V728" s="415"/>
      <c r="W728" s="331"/>
      <c r="X728" s="320" t="str">
        <f>IF(W728=[22]Listas!$B$46,[22]Listas!$C$46,IF(W728=[22]Listas!$B$47,[22]Listas!$C$47,IF(W728=[22]Listas!$B$48,[22]Listas!$C$48,"")))</f>
        <v/>
      </c>
      <c r="Y728" s="321" t="str">
        <f>IF(OR(W728=[22]Listas!$F$53,W728=[22]Listas!$F$54),[22]Listas!$G$53,IF(W728=[22]Listas!$F$55,[22]Listas!$G$55,""))</f>
        <v/>
      </c>
      <c r="Z728" s="331"/>
      <c r="AA728" s="182" t="str">
        <f>+IF(Z728=[22]Listas!$E$46,[22]Listas!$F$46,IF(Z728=[22]Listas!$E$47,[22]Listas!$F$47,""))</f>
        <v/>
      </c>
      <c r="AB728" s="183" t="str">
        <f t="shared" si="111"/>
        <v/>
      </c>
      <c r="AC728" s="319"/>
      <c r="AD728" s="322"/>
      <c r="AE728" s="323"/>
      <c r="AF728" s="305" t="str">
        <f t="shared" si="109"/>
        <v>Muy baja</v>
      </c>
      <c r="AG728" s="145">
        <f>IF(Y728=[22]Listas!$G$53,AG727-(AG727*AB728),AG727)</f>
        <v>0.10584</v>
      </c>
      <c r="AH728" s="562"/>
      <c r="AI728" s="305" t="str">
        <f t="shared" si="110"/>
        <v>Moderado</v>
      </c>
      <c r="AJ728" s="145">
        <f>IF(Y728=[22]Listas!$G$55,AJ727-(AJ727*AB728),AJ727)</f>
        <v>0.6</v>
      </c>
      <c r="AK728" s="562"/>
      <c r="AL728" s="565"/>
      <c r="AM728" s="565"/>
      <c r="AN728" s="565"/>
      <c r="AO728" s="568"/>
      <c r="AP728" s="571"/>
      <c r="AQ728" s="333"/>
      <c r="AR728" s="185"/>
    </row>
    <row r="729" spans="2:44" ht="15" hidden="1" customHeight="1" thickTop="1" x14ac:dyDescent="0.35">
      <c r="B729" s="537"/>
      <c r="C729" s="280"/>
      <c r="D729" s="610"/>
      <c r="E729" s="577"/>
      <c r="F729" s="646"/>
      <c r="G729" s="663"/>
      <c r="H729" s="666"/>
      <c r="I729" s="589"/>
      <c r="J729" s="589"/>
      <c r="K729" s="592"/>
      <c r="L729" s="589"/>
      <c r="M729" s="595"/>
      <c r="N729" s="598"/>
      <c r="O729" s="601"/>
      <c r="P729" s="595"/>
      <c r="Q729" s="604"/>
      <c r="R729" s="601"/>
      <c r="S729" s="289"/>
      <c r="T729" s="607"/>
      <c r="U729" s="142" t="s">
        <v>220</v>
      </c>
      <c r="V729" s="415"/>
      <c r="W729" s="331"/>
      <c r="X729" s="320" t="str">
        <f>IF(W729=[22]Listas!$B$46,[22]Listas!$C$46,IF(W729=[22]Listas!$B$47,[22]Listas!$C$47,IF(W729=[22]Listas!$B$48,[22]Listas!$C$48,"")))</f>
        <v/>
      </c>
      <c r="Y729" s="321" t="str">
        <f>IF(OR(W729=[22]Listas!$F$53,W729=[22]Listas!$F$54),[22]Listas!$G$53,IF(W729=[22]Listas!$F$55,[22]Listas!$G$55,""))</f>
        <v/>
      </c>
      <c r="Z729" s="331"/>
      <c r="AA729" s="182" t="str">
        <f>+IF(Z729=[22]Listas!$E$46,[22]Listas!$F$46,IF(Z729=[22]Listas!$E$47,[22]Listas!$F$47,""))</f>
        <v/>
      </c>
      <c r="AB729" s="183" t="str">
        <f t="shared" si="111"/>
        <v/>
      </c>
      <c r="AC729" s="319"/>
      <c r="AD729" s="322"/>
      <c r="AE729" s="323"/>
      <c r="AF729" s="305" t="str">
        <f t="shared" si="109"/>
        <v>Muy baja</v>
      </c>
      <c r="AG729" s="145">
        <f>IF(Y729=[22]Listas!$G$53,AG728-(AG728*AB729),AG728)</f>
        <v>0.10584</v>
      </c>
      <c r="AH729" s="562"/>
      <c r="AI729" s="305" t="str">
        <f t="shared" si="110"/>
        <v>Moderado</v>
      </c>
      <c r="AJ729" s="145">
        <f>IF(Y729=[22]Listas!$G$55,AJ728-(AJ728*AB729),AJ728)</f>
        <v>0.6</v>
      </c>
      <c r="AK729" s="562"/>
      <c r="AL729" s="565"/>
      <c r="AM729" s="565"/>
      <c r="AN729" s="565"/>
      <c r="AO729" s="568"/>
      <c r="AP729" s="571"/>
      <c r="AQ729" s="334"/>
      <c r="AR729" s="185"/>
    </row>
    <row r="730" spans="2:44" ht="15" hidden="1" customHeight="1" thickTop="1" x14ac:dyDescent="0.35">
      <c r="B730" s="537"/>
      <c r="C730" s="280"/>
      <c r="D730" s="610"/>
      <c r="E730" s="577"/>
      <c r="F730" s="646"/>
      <c r="G730" s="663"/>
      <c r="H730" s="666"/>
      <c r="I730" s="589"/>
      <c r="J730" s="589"/>
      <c r="K730" s="592"/>
      <c r="L730" s="589"/>
      <c r="M730" s="595"/>
      <c r="N730" s="598"/>
      <c r="O730" s="601"/>
      <c r="P730" s="595"/>
      <c r="Q730" s="604"/>
      <c r="R730" s="601"/>
      <c r="S730" s="289"/>
      <c r="T730" s="607"/>
      <c r="U730" s="142" t="s">
        <v>223</v>
      </c>
      <c r="V730" s="415"/>
      <c r="W730" s="331"/>
      <c r="X730" s="320" t="str">
        <f>IF(W730=[22]Listas!$B$46,[22]Listas!$C$46,IF(W730=[22]Listas!$B$47,[22]Listas!$C$47,IF(W730=[22]Listas!$B$48,[22]Listas!$C$48,"")))</f>
        <v/>
      </c>
      <c r="Y730" s="321" t="str">
        <f>IF(OR(W730=[22]Listas!$F$53,W730=[22]Listas!$F$54),[22]Listas!$G$53,IF(W730=[22]Listas!$F$55,[22]Listas!$G$55,""))</f>
        <v/>
      </c>
      <c r="Z730" s="331"/>
      <c r="AA730" s="182" t="str">
        <f>+IF(Z730=[22]Listas!$E$46,[22]Listas!$F$46,IF(Z730=[22]Listas!$E$47,[22]Listas!$F$47,""))</f>
        <v/>
      </c>
      <c r="AB730" s="183" t="str">
        <f t="shared" si="111"/>
        <v/>
      </c>
      <c r="AC730" s="319"/>
      <c r="AD730" s="322"/>
      <c r="AE730" s="323"/>
      <c r="AF730" s="305" t="str">
        <f t="shared" si="109"/>
        <v>Muy baja</v>
      </c>
      <c r="AG730" s="145">
        <f>IF(Y730=[22]Listas!$G$53,AG729-(AG729*AB730),AG729)</f>
        <v>0.10584</v>
      </c>
      <c r="AH730" s="562"/>
      <c r="AI730" s="305" t="str">
        <f t="shared" si="110"/>
        <v>Moderado</v>
      </c>
      <c r="AJ730" s="145">
        <f>IF(Y730=[22]Listas!$G$55,AJ729-(AJ729*AB730),AJ729)</f>
        <v>0.6</v>
      </c>
      <c r="AK730" s="562"/>
      <c r="AL730" s="565"/>
      <c r="AM730" s="565"/>
      <c r="AN730" s="565"/>
      <c r="AO730" s="568"/>
      <c r="AP730" s="571"/>
      <c r="AQ730" s="324"/>
      <c r="AR730" s="185"/>
    </row>
    <row r="731" spans="2:44" ht="15.75" hidden="1" customHeight="1" thickTop="1" x14ac:dyDescent="0.35">
      <c r="B731" s="537"/>
      <c r="C731" s="280"/>
      <c r="D731" s="611"/>
      <c r="E731" s="578"/>
      <c r="F731" s="647"/>
      <c r="G731" s="664"/>
      <c r="H731" s="667"/>
      <c r="I731" s="590"/>
      <c r="J731" s="590"/>
      <c r="K731" s="593"/>
      <c r="L731" s="590"/>
      <c r="M731" s="596"/>
      <c r="N731" s="599"/>
      <c r="O731" s="602"/>
      <c r="P731" s="596"/>
      <c r="Q731" s="605"/>
      <c r="R731" s="602"/>
      <c r="S731" s="293"/>
      <c r="T731" s="608"/>
      <c r="U731" s="202" t="s">
        <v>224</v>
      </c>
      <c r="V731" s="416"/>
      <c r="W731" s="335"/>
      <c r="X731" s="336" t="str">
        <f>IF(W731=[22]Listas!$B$46,[22]Listas!$C$46,IF(W731=[22]Listas!$B$47,[22]Listas!$C$47,IF(W731=[22]Listas!$B$48,[22]Listas!$C$48,"")))</f>
        <v/>
      </c>
      <c r="Y731" s="337" t="str">
        <f>IF(OR(W731=[22]Listas!$F$53,W731=[22]Listas!$F$54),[22]Listas!$G$53,IF(W731=[22]Listas!$F$55,[22]Listas!$G$55,""))</f>
        <v/>
      </c>
      <c r="Z731" s="335"/>
      <c r="AA731" s="186" t="str">
        <f>+IF(Z731=[22]Listas!$E$46,[22]Listas!$F$46,IF(Z731=[22]Listas!$E$47,[22]Listas!$F$47,""))</f>
        <v/>
      </c>
      <c r="AB731" s="187" t="str">
        <f t="shared" si="111"/>
        <v/>
      </c>
      <c r="AC731" s="338"/>
      <c r="AD731" s="339"/>
      <c r="AE731" s="340"/>
      <c r="AF731" s="311" t="str">
        <f t="shared" si="109"/>
        <v>Muy baja</v>
      </c>
      <c r="AG731" s="179">
        <f>IF(Y731=[22]Listas!$G$53,AG730-(AG730*AB731),AG730)</f>
        <v>0.10584</v>
      </c>
      <c r="AH731" s="563"/>
      <c r="AI731" s="311" t="str">
        <f t="shared" si="110"/>
        <v>Moderado</v>
      </c>
      <c r="AJ731" s="179">
        <f>IF(Y731=[22]Listas!$G$55,AJ730-(AJ730*AB731),AJ730)</f>
        <v>0.6</v>
      </c>
      <c r="AK731" s="563"/>
      <c r="AL731" s="566"/>
      <c r="AM731" s="566"/>
      <c r="AN731" s="566"/>
      <c r="AO731" s="569"/>
      <c r="AP731" s="572"/>
      <c r="AQ731" s="341"/>
      <c r="AR731" s="188"/>
    </row>
    <row r="732" spans="2:44" ht="240" customHeight="1" thickTop="1" thickBot="1" x14ac:dyDescent="0.4">
      <c r="B732" s="537"/>
      <c r="C732" s="560" t="s">
        <v>110</v>
      </c>
      <c r="D732" s="609" t="s">
        <v>858</v>
      </c>
      <c r="E732" s="576" t="s">
        <v>6</v>
      </c>
      <c r="F732" s="645" t="s">
        <v>859</v>
      </c>
      <c r="G732" s="662" t="s">
        <v>860</v>
      </c>
      <c r="H732" s="665" t="s">
        <v>861</v>
      </c>
      <c r="I732" s="588" t="s">
        <v>20</v>
      </c>
      <c r="J732" s="588" t="s">
        <v>22</v>
      </c>
      <c r="K732" s="591" t="s">
        <v>862</v>
      </c>
      <c r="L732" s="588" t="s">
        <v>168</v>
      </c>
      <c r="M732" s="594" t="s">
        <v>214</v>
      </c>
      <c r="N732" s="597" t="str">
        <f>+IF(M732="","",IF(M732=$BO$15,$BN$15,IF(M732=$BO$16,$BN$16,IF(M732=$BO$17,$BN$17,IF(M732=$BO$18,$BN$18,IF(M732=$BO$19,$BN$19))))))</f>
        <v>Media</v>
      </c>
      <c r="O732" s="600">
        <f>+IF(M732="","",IF(M732=$BO$15,$BR$15,IF(M732=$BO$16,$BR$16,IF(M732=$BO$17,$BR$17,IF(M732=$BO$18,$BR$18,IF(M732=$BO$19,$BR$19))))))</f>
        <v>0.6</v>
      </c>
      <c r="P732" s="594" t="s">
        <v>221</v>
      </c>
      <c r="Q732" s="603" t="str">
        <f>+IF(P732="","",IF(P732='[22]Mapa de Calor inherente'!$AF$6,'[22]Mapa de Calor inherente'!$AD$6,IF(P732='[22]Mapa de Calor inherente'!$AF$7,'[22]Mapa de Calor inherente'!$AD$7,IF(P732='[22]Mapa de Calor inherente'!$AF$8,'[22]Mapa de Calor inherente'!$AD$8,IF(P732='[22]Mapa de Calor inherente'!$AF$9,'[22]Mapa de Calor inherente'!$AD$9,IF(P732='[22]Mapa de Calor inherente'!$AF$10,'[22]Mapa de Calor inherente'!$AD$10,IF(P732='[22]Mapa de Calor inherente'!$AG$6,'[22]Mapa de Calor inherente'!$AD$6,IF(P732='[22]Mapa de Calor inherente'!$AG$7,'[22]Mapa de Calor inherente'!$AD$7,IF(P732='[22]Mapa de Calor inherente'!$AG$8,'[22]Mapa de Calor inherente'!$AD$8,IF(P732='[22]Mapa de Calor inherente'!$AG$9,'[22]Mapa de Calor inherente'!$AD$9,IF(P732='[22]Mapa de Calor inherente'!$AG$10,'[22]Mapa de Calor inherente'!$AD$10,IF(P732='[22]Mapa de Calor inherente'!$AD$8,'[22]Mapa de Calor inherente'!$AD$8,IF(P732='[22]Mapa de Calor inherente'!$AD$9,'[22]Mapa de Calor inherente'!$AD$9,IF(P732='[22]Mapa de Calor inherente'!$AD$10,'[22]Mapa de Calor inherente'!$AD$10))))))))))))))</f>
        <v>Catastrófico</v>
      </c>
      <c r="R732" s="600">
        <f>+IF(P732="","",IF(P732='[22]Mapa de Calor inherente'!$AF$6,'[22]Mapa de Calor inherente'!$AE$6,IF(P732='[22]Mapa de Calor inherente'!$AF$7,'[22]Mapa de Calor inherente'!$AE$7,IF(P732='[22]Mapa de Calor inherente'!$AF$8,'[22]Mapa de Calor inherente'!$AE$8,IF(P732='[22]Mapa de Calor inherente'!$AF$9,'[22]Mapa de Calor inherente'!$AE$9,IF(P732='[22]Mapa de Calor inherente'!$AF$10,'[22]Mapa de Calor inherente'!$AE$10,IF(P732='[22]Mapa de Calor inherente'!$AG$6,'[22]Mapa de Calor inherente'!$AE$6,IF(P732='[22]Mapa de Calor inherente'!$AG$7,'[22]Mapa de Calor inherente'!$AE$7,IF(P732='[22]Mapa de Calor inherente'!$AG$8,'[22]Mapa de Calor inherente'!$AE$8,IF(P732='[22]Mapa de Calor inherente'!$AG$9,'[22]Mapa de Calor inherente'!$AE$9,IF(P732='[22]Mapa de Calor inherente'!$AG$10,'[22]Mapa de Calor inherente'!$AE$10,IF(P732='[22]Mapa de Calor inherente'!$AD$8,'[22]Mapa de Calor inherente'!$AE$8,IF(P732='[22]Mapa de Calor inherente'!$AD$9,'[22]Mapa de Calor inherente'!$AE$9,IF(P732='[22]Mapa de Calor inherente'!$AD$10,'[22]Mapa de Calor inherente'!$AE$10))))))))))))))</f>
        <v>1</v>
      </c>
      <c r="S732" s="292"/>
      <c r="T732" s="603" t="str">
        <f>+IF(N732=$BB$17,IF(Q732=$BC$16,$BC$17,IF(Q732=$BD$16,$BD$17,IF(Q732=$BE$16,$BE$17,IF(Q732=$BF$16,$BF$17,IF(Q732=$BG$16,$BG$17))))),IF(N732=$BB$18,IF(Q732=$BC$16,$BC$18,IF(Q732=$BD$16,$BD$18,IF(Q732=$BE$16,$BE$18,IF(Q732=$BF$16,$BF$18,IF(Q732=$BG$16,$BG$18))))),IF(N732=$BB$19,IF(Q732=$BC$16,$BC$19,IF(Q732=$BD$16,$BD$19,IF(Q732=$BE$16,$BE$19,IF(Q732=$BF$16,$BF$19,IF(Q732=$BG$16,$BG$19))))),IF(N732=$BB$20,IF(Q732=$BC$16,$BC$20,IF(Q732=$BD$16,$BD$20,IF(Q732=$BE$16,$BE$20,IF(Q732=$BF$16,$BF$20,IF(Q732=$BG$16,$BG$20))))),IF(N732=$BB$21,IF(Q732=$BC$16,$BC$21,IF(Q732=$BD$16,$BD$21,IF(Q732=$BE$16,$BE$21,IF(Q732=$BF$16,$BF$21,IF(Q732=$BG$16,$BG$21))))),"")))))</f>
        <v>Extremo</v>
      </c>
      <c r="U732" s="139" t="s">
        <v>171</v>
      </c>
      <c r="V732" s="488" t="s">
        <v>863</v>
      </c>
      <c r="W732" s="313" t="s">
        <v>40</v>
      </c>
      <c r="X732" s="314">
        <f>IF(W732=[22]Listas!$B$46,[22]Listas!$C$46,IF(W732=[22]Listas!$B$47,[22]Listas!$C$47,IF(W732=[22]Listas!$B$48,[22]Listas!$C$48,"")))</f>
        <v>0.25</v>
      </c>
      <c r="Y732" s="315" t="str">
        <f>IF(OR(W732=[22]Listas!$F$53,W732=[22]Listas!$F$54),[22]Listas!$G$53,IF(W732=[22]Listas!$F$55,[22]Listas!$G$55,""))</f>
        <v>Probabilidad</v>
      </c>
      <c r="Z732" s="313" t="s">
        <v>43</v>
      </c>
      <c r="AA732" s="314">
        <f>+IF(Z732=[22]Listas!$E$46,[22]Listas!$F$46,IF(Z732=[22]Listas!$E$47,[22]Listas!$F$47,""))</f>
        <v>0.15</v>
      </c>
      <c r="AB732" s="181">
        <f>IFERROR(X732+AA732,"")</f>
        <v>0.4</v>
      </c>
      <c r="AC732" s="313" t="s">
        <v>57</v>
      </c>
      <c r="AD732" s="313" t="s">
        <v>58</v>
      </c>
      <c r="AE732" s="317" t="s">
        <v>59</v>
      </c>
      <c r="AF732" s="299" t="str">
        <f t="shared" si="109"/>
        <v>Baja</v>
      </c>
      <c r="AG732" s="141">
        <f>IF(Y732=[22]Listas!$G$53,O732-(O732*AB732),O732)</f>
        <v>0.36</v>
      </c>
      <c r="AH732" s="561">
        <f>+IF(AG741="","",AG741)</f>
        <v>0.12348000000000001</v>
      </c>
      <c r="AI732" s="299" t="str">
        <f>IF(AJ732="","",IF(AJ732&lt;=20%,"Leve",IF(AJ732&lt;=40%,"Menor",IF(AJ732&lt;=60%,"Moderado",IF(AJ732&lt;=80%,"Mayor","Catastrófico")))))</f>
        <v>Catastrófico</v>
      </c>
      <c r="AJ732" s="141">
        <f>IF(Y732=[22]Listas!$G$55,R732-(R732*AB732),R732)</f>
        <v>1</v>
      </c>
      <c r="AK732" s="561">
        <f>+IF(AJ741="","",AJ741)</f>
        <v>1</v>
      </c>
      <c r="AL732" s="564" t="str">
        <f>+IF(AH732=0,"",IF(AH732&lt;=$BA$21,$BB$21,IF(AH732&lt;=$BA$20,$BB$20,IF(AH732&lt;=$BA$19,$BB$19,IF(AH732&lt;=$BA$18,$BB$18,IF(AH732&lt;=$BA$17,$BB$17,""))))))</f>
        <v>Muy Baja</v>
      </c>
      <c r="AM732" s="564" t="str">
        <f>+IF(AK732=0,"",IF(AK732&lt;=$BC$15,$BC$16,IF(AK732&lt;=$BD$15,$BD$16,IF(AK732&lt;=$BE$15,$BE$16,IF(AK732&lt;=$BF$15,$BF$16,IF(AK732&lt;=$BG$15,$BG$16,""))))))</f>
        <v>Catastrófico</v>
      </c>
      <c r="AN732" s="564" t="str">
        <f>IF(AL732=$BB$17,IF(AM732=$BC$16,$BC$17,IF(AM732=$BD$16,$BD$17,IF(AM732=$BE$16,$BE$17,IF(AM732=$BF$16,$BF$17,IF(AM732=$BG$16,$BG$17))))),IF(AL732=$BB$18,IF(AM732=$BC$16,$BC$18,IF(AM732=$BD$16,$BD$18,IF(AM732=$BE$16,$BE$18,IF(AM732=$BF$16,$BF$18,IF(AM732=$BG$16,$BG$18))))),IF(AL732=$BB$19,IF(AM732=$BC$16,$BC$19,IF(AM732=$BD$16,$BD$19,IF(AM732=$BE$16,$BE$19,IF(AM732=$BF$16,$BF$19,IF(AM732=$BG$16,$BG$19))))),IF(AL732=$BB$20,IF(AM732=$BC$16,$BC$20,IF(AM732=$BD$16,$BD$20,IF(AM732=$BE$16,$BE$20,IF(AM732=$BF$16,$BF$20,IF(AM732=$BG$16,$BG$20))))),IF(AL732=$BB$21,IF(AM732=$BC$16,$BC$21,IF(AM732=$BD$16,$BD$21,IF(AM732=$BE$16,$BE$21,IF(AM732=$BF$16,$BF$21,IF(AM732=$BG$16,$BG$21))))),"")))))</f>
        <v>Extremo</v>
      </c>
      <c r="AO732" s="567" t="str">
        <f>IF(AP732="","",IF(AP732=[22]Listas!$F$61,[22]Listas!$G$61,IF(AP732=[22]Listas!$F$63,[22]Listas!$G$63,IF(AP732=[22]Listas!$F$64,[22]Listas!$G$64))))</f>
        <v>Requiere Plan de Acción</v>
      </c>
      <c r="AP732" s="570" t="str">
        <f>IF(AN732="","",IF(OR(AN732=[22]Listas!$E$61,AN732=[22]Listas!$E$62),[22]Listas!$F$61,IF(AN732=[22]Listas!$E$63,[22]Listas!$F$63,IF(AN732=[22]Listas!$E$64,[22]Listas!$F$64))))</f>
        <v>Reducir, evitar, compartir o transferir el riesgo</v>
      </c>
      <c r="AQ732" s="347" t="s">
        <v>80</v>
      </c>
      <c r="AR732" s="409" t="s">
        <v>864</v>
      </c>
    </row>
    <row r="733" spans="2:44" ht="214.5" customHeight="1" thickTop="1" thickBot="1" x14ac:dyDescent="0.4">
      <c r="B733" s="537"/>
      <c r="C733" s="560"/>
      <c r="D733" s="610"/>
      <c r="E733" s="577"/>
      <c r="F733" s="646"/>
      <c r="G733" s="663"/>
      <c r="H733" s="666"/>
      <c r="I733" s="589"/>
      <c r="J733" s="589"/>
      <c r="K733" s="592"/>
      <c r="L733" s="589"/>
      <c r="M733" s="595"/>
      <c r="N733" s="598"/>
      <c r="O733" s="601"/>
      <c r="P733" s="595"/>
      <c r="Q733" s="604"/>
      <c r="R733" s="601"/>
      <c r="S733" s="286"/>
      <c r="T733" s="604"/>
      <c r="U733" s="142" t="s">
        <v>174</v>
      </c>
      <c r="V733" s="504" t="s">
        <v>865</v>
      </c>
      <c r="W733" s="331" t="s">
        <v>42</v>
      </c>
      <c r="X733" s="320">
        <f>IF(W733=[22]Listas!$B$46,[22]Listas!$C$46,IF(W733=[22]Listas!$B$47,[22]Listas!$C$47,IF(W733=[22]Listas!$B$48,[22]Listas!$C$48,"")))</f>
        <v>0.15</v>
      </c>
      <c r="Y733" s="321" t="str">
        <f>IF(OR(W733=[22]Listas!$F$53,W733=[22]Listas!$F$54),[22]Listas!$G$53,IF(W733=[22]Listas!$F$55,[22]Listas!$G$55,""))</f>
        <v>Probabilidad</v>
      </c>
      <c r="Z733" s="331" t="s">
        <v>43</v>
      </c>
      <c r="AA733" s="182">
        <f>+IF(Z733=[22]Listas!$E$46,[22]Listas!$F$46,IF(Z733=[22]Listas!$E$47,[22]Listas!$F$47,""))</f>
        <v>0.15</v>
      </c>
      <c r="AB733" s="183">
        <f>IFERROR(X733+AA733,"")</f>
        <v>0.3</v>
      </c>
      <c r="AC733" s="319" t="s">
        <v>57</v>
      </c>
      <c r="AD733" s="319" t="s">
        <v>58</v>
      </c>
      <c r="AE733" s="323" t="s">
        <v>59</v>
      </c>
      <c r="AF733" s="305" t="str">
        <f t="shared" si="109"/>
        <v>Baja</v>
      </c>
      <c r="AG733" s="145">
        <f>IF(Y733=[22]Listas!$G$53,AG732-(AG732*AB733),AG732)</f>
        <v>0.252</v>
      </c>
      <c r="AH733" s="562"/>
      <c r="AI733" s="305" t="str">
        <f t="shared" si="110"/>
        <v>Catastrófico</v>
      </c>
      <c r="AJ733" s="145">
        <f>IF(Y733=[22]Listas!$G$55,AJ732-(AJ732*AB733),AJ732)</f>
        <v>1</v>
      </c>
      <c r="AK733" s="562"/>
      <c r="AL733" s="565"/>
      <c r="AM733" s="565"/>
      <c r="AN733" s="565"/>
      <c r="AO733" s="568"/>
      <c r="AP733" s="571"/>
      <c r="AQ733" s="348" t="s">
        <v>80</v>
      </c>
      <c r="AR733" s="118" t="s">
        <v>866</v>
      </c>
    </row>
    <row r="734" spans="2:44" ht="183" thickTop="1" thickBot="1" x14ac:dyDescent="0.4">
      <c r="B734" s="537"/>
      <c r="C734" s="560"/>
      <c r="D734" s="610"/>
      <c r="E734" s="577"/>
      <c r="F734" s="646"/>
      <c r="G734" s="663"/>
      <c r="H734" s="666"/>
      <c r="I734" s="589"/>
      <c r="J734" s="589"/>
      <c r="K734" s="592"/>
      <c r="L734" s="589"/>
      <c r="M734" s="595"/>
      <c r="N734" s="598"/>
      <c r="O734" s="601"/>
      <c r="P734" s="595"/>
      <c r="Q734" s="604"/>
      <c r="R734" s="601"/>
      <c r="S734" s="287"/>
      <c r="T734" s="604"/>
      <c r="U734" s="142" t="s">
        <v>180</v>
      </c>
      <c r="V734" s="490" t="s">
        <v>867</v>
      </c>
      <c r="W734" s="331" t="s">
        <v>42</v>
      </c>
      <c r="X734" s="320">
        <f>IF(W734=[22]Listas!$B$46,[22]Listas!$C$46,IF(W734=[22]Listas!$B$47,[22]Listas!$C$47,IF(W734=[22]Listas!$B$48,[22]Listas!$C$48,"")))</f>
        <v>0.15</v>
      </c>
      <c r="Y734" s="321" t="str">
        <f>IF(OR(W734=[22]Listas!$F$53,W734=[22]Listas!$F$54),[22]Listas!$G$53,IF(W734=[22]Listas!$F$55,[22]Listas!$G$55,""))</f>
        <v>Probabilidad</v>
      </c>
      <c r="Z734" s="331" t="s">
        <v>43</v>
      </c>
      <c r="AA734" s="182">
        <f>+IF(Z734=[22]Listas!$E$46,[22]Listas!$F$46,IF(Z734=[22]Listas!$E$47,[22]Listas!$F$47,""))</f>
        <v>0.15</v>
      </c>
      <c r="AB734" s="183">
        <f>IFERROR(X734+AA734,"")</f>
        <v>0.3</v>
      </c>
      <c r="AC734" s="319" t="s">
        <v>57</v>
      </c>
      <c r="AD734" s="319" t="s">
        <v>58</v>
      </c>
      <c r="AE734" s="323" t="s">
        <v>59</v>
      </c>
      <c r="AF734" s="305" t="str">
        <f t="shared" si="109"/>
        <v>Muy baja</v>
      </c>
      <c r="AG734" s="145">
        <f>IF(Y734=[22]Listas!$G$53,AG733-(AG733*AB734),AG733)</f>
        <v>0.1764</v>
      </c>
      <c r="AH734" s="562"/>
      <c r="AI734" s="305" t="str">
        <f t="shared" si="110"/>
        <v>Catastrófico</v>
      </c>
      <c r="AJ734" s="145">
        <f>IF(Y734=[22]Listas!$G$55,AJ733-(AJ733*AB734),AJ733)</f>
        <v>1</v>
      </c>
      <c r="AK734" s="562"/>
      <c r="AL734" s="565"/>
      <c r="AM734" s="565"/>
      <c r="AN734" s="565"/>
      <c r="AO734" s="568"/>
      <c r="AP734" s="571"/>
      <c r="AQ734" s="348" t="s">
        <v>90</v>
      </c>
      <c r="AR734" s="410" t="s">
        <v>856</v>
      </c>
    </row>
    <row r="735" spans="2:44" ht="209.25" customHeight="1" thickTop="1" thickBot="1" x14ac:dyDescent="0.4">
      <c r="B735" s="537"/>
      <c r="C735" s="560"/>
      <c r="D735" s="610"/>
      <c r="E735" s="577"/>
      <c r="F735" s="646"/>
      <c r="G735" s="663"/>
      <c r="H735" s="666"/>
      <c r="I735" s="589"/>
      <c r="J735" s="589"/>
      <c r="K735" s="592"/>
      <c r="L735" s="589"/>
      <c r="M735" s="595"/>
      <c r="N735" s="598"/>
      <c r="O735" s="601"/>
      <c r="P735" s="595"/>
      <c r="Q735" s="604"/>
      <c r="R735" s="601"/>
      <c r="S735" s="287"/>
      <c r="T735" s="604"/>
      <c r="U735" s="142" t="s">
        <v>190</v>
      </c>
      <c r="V735" s="506" t="s">
        <v>868</v>
      </c>
      <c r="W735" s="331" t="s">
        <v>42</v>
      </c>
      <c r="X735" s="320">
        <f>IF(W735=[22]Listas!$B$46,[22]Listas!$C$46,IF(W735=[22]Listas!$B$47,[22]Listas!$C$47,IF(W735=[22]Listas!$B$48,[22]Listas!$C$48,"")))</f>
        <v>0.15</v>
      </c>
      <c r="Y735" s="321" t="str">
        <f>IF(OR(W735=[22]Listas!$F$53,W735=[22]Listas!$F$54),[22]Listas!$G$53,IF(W735=[22]Listas!$F$55,[22]Listas!$G$55,""))</f>
        <v>Probabilidad</v>
      </c>
      <c r="Z735" s="331" t="s">
        <v>43</v>
      </c>
      <c r="AA735" s="182">
        <f>+IF(Z735=[22]Listas!$E$46,[22]Listas!$F$46,IF(Z735=[22]Listas!$E$47,[22]Listas!$F$47,""))</f>
        <v>0.15</v>
      </c>
      <c r="AB735" s="183">
        <f t="shared" ref="AB735:AB741" si="112">IFERROR(X735+AA735,"")</f>
        <v>0.3</v>
      </c>
      <c r="AC735" s="319" t="s">
        <v>57</v>
      </c>
      <c r="AD735" s="319" t="s">
        <v>58</v>
      </c>
      <c r="AE735" s="323" t="s">
        <v>59</v>
      </c>
      <c r="AF735" s="305" t="str">
        <f t="shared" si="109"/>
        <v>Muy baja</v>
      </c>
      <c r="AG735" s="145">
        <f>IF(Y735=[22]Listas!$G$53,AG734-(AG734*AB735),AG734)</f>
        <v>0.12348000000000001</v>
      </c>
      <c r="AH735" s="562"/>
      <c r="AI735" s="305" t="str">
        <f t="shared" si="110"/>
        <v>Catastrófico</v>
      </c>
      <c r="AJ735" s="145">
        <f>IF(Y735=[22]Listas!$G$55,AJ734-(AJ734*AB735),AJ734)</f>
        <v>1</v>
      </c>
      <c r="AK735" s="562"/>
      <c r="AL735" s="565"/>
      <c r="AM735" s="565"/>
      <c r="AN735" s="565"/>
      <c r="AO735" s="568"/>
      <c r="AP735" s="571"/>
      <c r="AQ735" s="344"/>
      <c r="AR735" s="199"/>
    </row>
    <row r="736" spans="2:44" ht="15" hidden="1" customHeight="1" x14ac:dyDescent="0.35">
      <c r="B736" s="537"/>
      <c r="C736" s="560"/>
      <c r="D736" s="610"/>
      <c r="E736" s="577"/>
      <c r="F736" s="646"/>
      <c r="G736" s="663"/>
      <c r="H736" s="666"/>
      <c r="I736" s="589"/>
      <c r="J736" s="589"/>
      <c r="K736" s="592"/>
      <c r="L736" s="589"/>
      <c r="M736" s="595"/>
      <c r="N736" s="598"/>
      <c r="O736" s="601"/>
      <c r="P736" s="595"/>
      <c r="Q736" s="604"/>
      <c r="R736" s="601"/>
      <c r="S736" s="287"/>
      <c r="T736" s="604"/>
      <c r="U736" s="142" t="s">
        <v>198</v>
      </c>
      <c r="V736" s="441"/>
      <c r="W736" s="331"/>
      <c r="X736" s="320" t="str">
        <f>IF(W736=[22]Listas!$B$46,[22]Listas!$C$46,IF(W736=[22]Listas!$B$47,[22]Listas!$C$47,IF(W736=[22]Listas!$B$48,[22]Listas!$C$48,"")))</f>
        <v/>
      </c>
      <c r="Y736" s="321" t="str">
        <f>IF(OR(W736=[22]Listas!$F$53,W736=[22]Listas!$F$54),[22]Listas!$G$53,IF(W736=[22]Listas!$F$55,[22]Listas!$G$55,""))</f>
        <v/>
      </c>
      <c r="Z736" s="331"/>
      <c r="AA736" s="182" t="str">
        <f>+IF(Z736=[22]Listas!$E$46,[22]Listas!$F$46,IF(Z736=[22]Listas!$E$47,[22]Listas!$F$47,""))</f>
        <v/>
      </c>
      <c r="AB736" s="183" t="str">
        <f t="shared" si="112"/>
        <v/>
      </c>
      <c r="AC736" s="319"/>
      <c r="AD736" s="319"/>
      <c r="AE736" s="323"/>
      <c r="AF736" s="305" t="str">
        <f t="shared" si="109"/>
        <v>Muy baja</v>
      </c>
      <c r="AG736" s="145">
        <f>IF(Y736=[22]Listas!$G$53,AG735-(AG735*AB736),AG735)</f>
        <v>0.12348000000000001</v>
      </c>
      <c r="AH736" s="562"/>
      <c r="AI736" s="305" t="str">
        <f t="shared" si="110"/>
        <v>Catastrófico</v>
      </c>
      <c r="AJ736" s="145">
        <f>IF(Y736=[22]Listas!$G$55,AJ735-(AJ735*AB736),AJ735)</f>
        <v>1</v>
      </c>
      <c r="AK736" s="562"/>
      <c r="AL736" s="565"/>
      <c r="AM736" s="565"/>
      <c r="AN736" s="565"/>
      <c r="AO736" s="568"/>
      <c r="AP736" s="571"/>
      <c r="AQ736" s="343"/>
      <c r="AR736" s="191"/>
    </row>
    <row r="737" spans="2:44" ht="15.75" hidden="1" customHeight="1" thickBot="1" x14ac:dyDescent="0.4">
      <c r="B737" s="537"/>
      <c r="C737" s="560"/>
      <c r="D737" s="610"/>
      <c r="E737" s="577"/>
      <c r="F737" s="646"/>
      <c r="G737" s="663"/>
      <c r="H737" s="666"/>
      <c r="I737" s="589"/>
      <c r="J737" s="589"/>
      <c r="K737" s="592"/>
      <c r="L737" s="589"/>
      <c r="M737" s="595"/>
      <c r="N737" s="598"/>
      <c r="O737" s="601"/>
      <c r="P737" s="595"/>
      <c r="Q737" s="604"/>
      <c r="R737" s="601"/>
      <c r="S737" s="288"/>
      <c r="T737" s="604"/>
      <c r="U737" s="142" t="s">
        <v>208</v>
      </c>
      <c r="V737" s="415"/>
      <c r="W737" s="331"/>
      <c r="X737" s="320" t="str">
        <f>IF(W737=[22]Listas!$B$46,[22]Listas!$C$46,IF(W737=[22]Listas!$B$47,[22]Listas!$C$47,IF(W737=[22]Listas!$B$48,[22]Listas!$C$48,"")))</f>
        <v/>
      </c>
      <c r="Y737" s="321" t="str">
        <f>IF(OR(W737=[22]Listas!$F$53,W737=[22]Listas!$F$54),[22]Listas!$G$53,IF(W737=[22]Listas!$F$55,[22]Listas!$G$55,""))</f>
        <v/>
      </c>
      <c r="Z737" s="331"/>
      <c r="AA737" s="182" t="str">
        <f>+IF(Z737=[22]Listas!$E$46,[22]Listas!$F$46,IF(Z737=[22]Listas!$E$47,[22]Listas!$F$47,""))</f>
        <v/>
      </c>
      <c r="AB737" s="183" t="str">
        <f t="shared" si="112"/>
        <v/>
      </c>
      <c r="AC737" s="319"/>
      <c r="AD737" s="319"/>
      <c r="AE737" s="323"/>
      <c r="AF737" s="305" t="str">
        <f t="shared" si="109"/>
        <v>Muy baja</v>
      </c>
      <c r="AG737" s="145">
        <f>IF(Y737=[22]Listas!$G$53,AG736-(AG736*AB737),AG736)</f>
        <v>0.12348000000000001</v>
      </c>
      <c r="AH737" s="562"/>
      <c r="AI737" s="305" t="str">
        <f t="shared" si="110"/>
        <v>Catastrófico</v>
      </c>
      <c r="AJ737" s="145">
        <f>IF(Y737=[22]Listas!$G$55,AJ736-(AJ736*AB737),AJ736)</f>
        <v>1</v>
      </c>
      <c r="AK737" s="562"/>
      <c r="AL737" s="565"/>
      <c r="AM737" s="565"/>
      <c r="AN737" s="565"/>
      <c r="AO737" s="568"/>
      <c r="AP737" s="571"/>
      <c r="AQ737" s="344"/>
      <c r="AR737" s="191"/>
    </row>
    <row r="738" spans="2:44" ht="15" hidden="1" customHeight="1" thickTop="1" x14ac:dyDescent="0.35">
      <c r="B738" s="537"/>
      <c r="C738" s="560"/>
      <c r="D738" s="610"/>
      <c r="E738" s="577"/>
      <c r="F738" s="646"/>
      <c r="G738" s="663"/>
      <c r="H738" s="666"/>
      <c r="I738" s="589"/>
      <c r="J738" s="589"/>
      <c r="K738" s="592"/>
      <c r="L738" s="589"/>
      <c r="M738" s="595"/>
      <c r="N738" s="598"/>
      <c r="O738" s="601"/>
      <c r="P738" s="595"/>
      <c r="Q738" s="604"/>
      <c r="R738" s="601"/>
      <c r="S738" s="289"/>
      <c r="T738" s="604"/>
      <c r="U738" s="142" t="s">
        <v>215</v>
      </c>
      <c r="V738" s="418"/>
      <c r="W738" s="331"/>
      <c r="X738" s="320" t="str">
        <f>IF(W738=[22]Listas!$B$46,[22]Listas!$C$46,IF(W738=[22]Listas!$B$47,[22]Listas!$C$47,IF(W738=[22]Listas!$B$48,[22]Listas!$C$48,"")))</f>
        <v/>
      </c>
      <c r="Y738" s="321" t="str">
        <f>IF(OR(W738=[22]Listas!$F$53,W738=[22]Listas!$F$54),[22]Listas!$G$53,IF(W738=[22]Listas!$F$55,[22]Listas!$G$55,""))</f>
        <v/>
      </c>
      <c r="Z738" s="331"/>
      <c r="AA738" s="182" t="str">
        <f>+IF(Z738=[22]Listas!$E$46,[22]Listas!$F$46,IF(Z738=[22]Listas!$E$47,[22]Listas!$F$47,""))</f>
        <v/>
      </c>
      <c r="AB738" s="183" t="str">
        <f t="shared" si="112"/>
        <v/>
      </c>
      <c r="AC738" s="319"/>
      <c r="AD738" s="322"/>
      <c r="AE738" s="323"/>
      <c r="AF738" s="305" t="str">
        <f t="shared" si="109"/>
        <v>Muy baja</v>
      </c>
      <c r="AG738" s="145">
        <f>IF(Y738=[22]Listas!$G$53,AG737-(AG737*AB738),AG737)</f>
        <v>0.12348000000000001</v>
      </c>
      <c r="AH738" s="562"/>
      <c r="AI738" s="305" t="str">
        <f t="shared" si="110"/>
        <v>Catastrófico</v>
      </c>
      <c r="AJ738" s="145">
        <f>IF(Y738=[22]Listas!$G$55,AJ737-(AJ737*AB738),AJ737)</f>
        <v>1</v>
      </c>
      <c r="AK738" s="562"/>
      <c r="AL738" s="565"/>
      <c r="AM738" s="565"/>
      <c r="AN738" s="565"/>
      <c r="AO738" s="568"/>
      <c r="AP738" s="571"/>
      <c r="AQ738" s="345"/>
      <c r="AR738" s="191"/>
    </row>
    <row r="739" spans="2:44" ht="15" hidden="1" customHeight="1" thickTop="1" x14ac:dyDescent="0.35">
      <c r="B739" s="537"/>
      <c r="C739" s="560"/>
      <c r="D739" s="610"/>
      <c r="E739" s="577"/>
      <c r="F739" s="646"/>
      <c r="G739" s="663"/>
      <c r="H739" s="666"/>
      <c r="I739" s="589"/>
      <c r="J739" s="589"/>
      <c r="K739" s="592"/>
      <c r="L739" s="589"/>
      <c r="M739" s="595"/>
      <c r="N739" s="598"/>
      <c r="O739" s="601"/>
      <c r="P739" s="595"/>
      <c r="Q739" s="604"/>
      <c r="R739" s="601"/>
      <c r="S739" s="289"/>
      <c r="T739" s="604"/>
      <c r="U739" s="142" t="s">
        <v>220</v>
      </c>
      <c r="V739" s="418"/>
      <c r="W739" s="331"/>
      <c r="X739" s="320" t="str">
        <f>IF(W739=[22]Listas!$B$46,[22]Listas!$C$46,IF(W739=[22]Listas!$B$47,[22]Listas!$C$47,IF(W739=[22]Listas!$B$48,[22]Listas!$C$48,"")))</f>
        <v/>
      </c>
      <c r="Y739" s="321" t="str">
        <f>IF(OR(W739=[22]Listas!$F$53,W739=[22]Listas!$F$54),[22]Listas!$G$53,IF(W739=[22]Listas!$F$55,[22]Listas!$G$55,""))</f>
        <v/>
      </c>
      <c r="Z739" s="331"/>
      <c r="AA739" s="182" t="str">
        <f>+IF(Z739=[22]Listas!$E$46,[22]Listas!$F$46,IF(Z739=[22]Listas!$E$47,[22]Listas!$F$47,""))</f>
        <v/>
      </c>
      <c r="AB739" s="183" t="str">
        <f t="shared" si="112"/>
        <v/>
      </c>
      <c r="AC739" s="319"/>
      <c r="AD739" s="322"/>
      <c r="AE739" s="323"/>
      <c r="AF739" s="305" t="str">
        <f t="shared" si="109"/>
        <v>Muy baja</v>
      </c>
      <c r="AG739" s="145">
        <f>IF(Y739=[22]Listas!$G$53,AG738-(AG738*AB739),AG738)</f>
        <v>0.12348000000000001</v>
      </c>
      <c r="AH739" s="562"/>
      <c r="AI739" s="305" t="str">
        <f t="shared" si="110"/>
        <v>Catastrófico</v>
      </c>
      <c r="AJ739" s="145">
        <f>IF(Y739=[22]Listas!$G$55,AJ738-(AJ738*AB739),AJ738)</f>
        <v>1</v>
      </c>
      <c r="AK739" s="562"/>
      <c r="AL739" s="565"/>
      <c r="AM739" s="565"/>
      <c r="AN739" s="565"/>
      <c r="AO739" s="568"/>
      <c r="AP739" s="571"/>
      <c r="AQ739" s="343"/>
      <c r="AR739" s="191"/>
    </row>
    <row r="740" spans="2:44" ht="15" hidden="1" customHeight="1" thickTop="1" x14ac:dyDescent="0.35">
      <c r="B740" s="537"/>
      <c r="C740" s="560"/>
      <c r="D740" s="610"/>
      <c r="E740" s="577"/>
      <c r="F740" s="646"/>
      <c r="G740" s="663"/>
      <c r="H740" s="666"/>
      <c r="I740" s="589"/>
      <c r="J740" s="589"/>
      <c r="K740" s="592"/>
      <c r="L740" s="589"/>
      <c r="M740" s="595"/>
      <c r="N740" s="598"/>
      <c r="O740" s="601"/>
      <c r="P740" s="595"/>
      <c r="Q740" s="604"/>
      <c r="R740" s="601"/>
      <c r="S740" s="289"/>
      <c r="T740" s="604"/>
      <c r="U740" s="142" t="s">
        <v>223</v>
      </c>
      <c r="V740" s="418"/>
      <c r="W740" s="331"/>
      <c r="X740" s="320" t="str">
        <f>IF(W740=[22]Listas!$B$46,[22]Listas!$C$46,IF(W740=[22]Listas!$B$47,[22]Listas!$C$47,IF(W740=[22]Listas!$B$48,[22]Listas!$C$48,"")))</f>
        <v/>
      </c>
      <c r="Y740" s="321" t="str">
        <f>IF(OR(W740=[22]Listas!$F$53,W740=[22]Listas!$F$54),[22]Listas!$G$53,IF(W740=[22]Listas!$F$55,[22]Listas!$G$55,""))</f>
        <v/>
      </c>
      <c r="Z740" s="331"/>
      <c r="AA740" s="182" t="str">
        <f>+IF(Z740=[22]Listas!$E$46,[22]Listas!$F$46,IF(Z740=[22]Listas!$E$47,[22]Listas!$F$47,""))</f>
        <v/>
      </c>
      <c r="AB740" s="183" t="str">
        <f t="shared" si="112"/>
        <v/>
      </c>
      <c r="AC740" s="319"/>
      <c r="AD740" s="322"/>
      <c r="AE740" s="323"/>
      <c r="AF740" s="305" t="str">
        <f t="shared" si="109"/>
        <v>Muy baja</v>
      </c>
      <c r="AG740" s="145">
        <f>IF(Y740=[22]Listas!$G$53,AG739-(AG739*AB740),AG739)</f>
        <v>0.12348000000000001</v>
      </c>
      <c r="AH740" s="562"/>
      <c r="AI740" s="305" t="str">
        <f t="shared" si="110"/>
        <v>Catastrófico</v>
      </c>
      <c r="AJ740" s="145">
        <f>IF(Y740=[22]Listas!$G$55,AJ739-(AJ739*AB740),AJ739)</f>
        <v>1</v>
      </c>
      <c r="AK740" s="562"/>
      <c r="AL740" s="565"/>
      <c r="AM740" s="565"/>
      <c r="AN740" s="565"/>
      <c r="AO740" s="568"/>
      <c r="AP740" s="571"/>
      <c r="AQ740" s="344"/>
      <c r="AR740" s="191"/>
    </row>
    <row r="741" spans="2:44" ht="15.75" hidden="1" customHeight="1" thickTop="1" x14ac:dyDescent="0.35">
      <c r="B741" s="537"/>
      <c r="C741" s="560"/>
      <c r="D741" s="611"/>
      <c r="E741" s="578"/>
      <c r="F741" s="647"/>
      <c r="G741" s="664"/>
      <c r="H741" s="667"/>
      <c r="I741" s="590"/>
      <c r="J741" s="590"/>
      <c r="K741" s="593"/>
      <c r="L741" s="590"/>
      <c r="M741" s="596"/>
      <c r="N741" s="599"/>
      <c r="O741" s="602"/>
      <c r="P741" s="596"/>
      <c r="Q741" s="605"/>
      <c r="R741" s="602"/>
      <c r="S741" s="293"/>
      <c r="T741" s="605"/>
      <c r="U741" s="202" t="s">
        <v>224</v>
      </c>
      <c r="V741" s="416"/>
      <c r="W741" s="335"/>
      <c r="X741" s="336" t="str">
        <f>IF(W741=[22]Listas!$B$46,[22]Listas!$C$46,IF(W741=[22]Listas!$B$47,[22]Listas!$C$47,IF(W741=[22]Listas!$B$48,[22]Listas!$C$48,"")))</f>
        <v/>
      </c>
      <c r="Y741" s="337" t="str">
        <f>IF(OR(W741=[22]Listas!$F$53,W741=[22]Listas!$F$54),[22]Listas!$G$53,IF(W741=[22]Listas!$F$55,[22]Listas!$G$55,""))</f>
        <v/>
      </c>
      <c r="Z741" s="335"/>
      <c r="AA741" s="186" t="str">
        <f>+IF(Z741=[22]Listas!$E$46,[22]Listas!$F$46,IF(Z741=[22]Listas!$E$47,[22]Listas!$F$47,""))</f>
        <v/>
      </c>
      <c r="AB741" s="187" t="str">
        <f t="shared" si="112"/>
        <v/>
      </c>
      <c r="AC741" s="338"/>
      <c r="AD741" s="339"/>
      <c r="AE741" s="340"/>
      <c r="AF741" s="311" t="str">
        <f t="shared" si="109"/>
        <v>Muy baja</v>
      </c>
      <c r="AG741" s="179">
        <f>IF(Y741=[22]Listas!$G$53,AG740-(AG740*AB741),AG740)</f>
        <v>0.12348000000000001</v>
      </c>
      <c r="AH741" s="563"/>
      <c r="AI741" s="311" t="str">
        <f t="shared" si="110"/>
        <v>Catastrófico</v>
      </c>
      <c r="AJ741" s="179">
        <f>IF(Y741=[22]Listas!$G$55,AJ740-(AJ740*AB741),AJ740)</f>
        <v>1</v>
      </c>
      <c r="AK741" s="563"/>
      <c r="AL741" s="566"/>
      <c r="AM741" s="566"/>
      <c r="AN741" s="566"/>
      <c r="AO741" s="569"/>
      <c r="AP741" s="572"/>
      <c r="AQ741" s="346"/>
      <c r="AR741" s="192"/>
    </row>
    <row r="742" spans="2:44" ht="211" thickTop="1" thickBot="1" x14ac:dyDescent="0.4">
      <c r="B742" s="537"/>
      <c r="C742" s="560"/>
      <c r="D742" s="609" t="s">
        <v>869</v>
      </c>
      <c r="E742" s="576" t="s">
        <v>6</v>
      </c>
      <c r="F742" s="645" t="s">
        <v>870</v>
      </c>
      <c r="G742" s="683" t="s">
        <v>871</v>
      </c>
      <c r="H742" s="684" t="s">
        <v>872</v>
      </c>
      <c r="I742" s="588" t="s">
        <v>20</v>
      </c>
      <c r="J742" s="588" t="s">
        <v>22</v>
      </c>
      <c r="K742" s="591" t="s">
        <v>873</v>
      </c>
      <c r="L742" s="588" t="s">
        <v>168</v>
      </c>
      <c r="M742" s="594" t="s">
        <v>207</v>
      </c>
      <c r="N742" s="597" t="str">
        <f>+IF(M742="","",IF(M742=$BO$15,$BN$15,IF(M742=$BO$16,$BN$16,IF(M742=$BO$17,$BN$17,IF(M742=$BO$18,$BN$18,IF(M742=$BO$19,$BN$19))))))</f>
        <v>Baja</v>
      </c>
      <c r="O742" s="600">
        <f>+IF(M742="","",IF(M742=$BO$15,$BR$15,IF(M742=$BO$16,$BR$16,IF(M742=$BO$17,$BR$17,IF(M742=$BO$18,$BR$18,IF(M742=$BO$19,$BR$19))))))</f>
        <v>0.4</v>
      </c>
      <c r="P742" s="594" t="s">
        <v>221</v>
      </c>
      <c r="Q742" s="603" t="str">
        <f>+IF(P742="","",IF(P742='[22]Mapa de Calor inherente'!$AF$6,'[22]Mapa de Calor inherente'!$AD$6,IF(P742='[22]Mapa de Calor inherente'!$AF$7,'[22]Mapa de Calor inherente'!$AD$7,IF(P742='[22]Mapa de Calor inherente'!$AF$8,'[22]Mapa de Calor inherente'!$AD$8,IF(P742='[22]Mapa de Calor inherente'!$AF$9,'[22]Mapa de Calor inherente'!$AD$9,IF(P742='[22]Mapa de Calor inherente'!$AF$10,'[22]Mapa de Calor inherente'!$AD$10,IF(P742='[22]Mapa de Calor inherente'!$AG$6,'[22]Mapa de Calor inherente'!$AD$6,IF(P742='[22]Mapa de Calor inherente'!$AG$7,'[22]Mapa de Calor inherente'!$AD$7,IF(P742='[22]Mapa de Calor inherente'!$AG$8,'[22]Mapa de Calor inherente'!$AD$8,IF(P742='[22]Mapa de Calor inherente'!$AG$9,'[22]Mapa de Calor inherente'!$AD$9,IF(P742='[22]Mapa de Calor inherente'!$AG$10,'[22]Mapa de Calor inherente'!$AD$10,IF(P742='[22]Mapa de Calor inherente'!$AD$8,'[22]Mapa de Calor inherente'!$AD$8,IF(P742='[22]Mapa de Calor inherente'!$AD$9,'[22]Mapa de Calor inherente'!$AD$9,IF(P742='[22]Mapa de Calor inherente'!$AD$10,'[22]Mapa de Calor inherente'!$AD$10))))))))))))))</f>
        <v>Catastrófico</v>
      </c>
      <c r="R742" s="600">
        <f>+IF(P742="","",IF(P742='[22]Mapa de Calor inherente'!$AF$6,'[22]Mapa de Calor inherente'!$AE$6,IF(P742='[22]Mapa de Calor inherente'!$AF$7,'[22]Mapa de Calor inherente'!$AE$7,IF(P742='[22]Mapa de Calor inherente'!$AF$8,'[22]Mapa de Calor inherente'!$AE$8,IF(P742='[22]Mapa de Calor inherente'!$AF$9,'[22]Mapa de Calor inherente'!$AE$9,IF(P742='[22]Mapa de Calor inherente'!$AF$10,'[22]Mapa de Calor inherente'!$AE$10,IF(P742='[22]Mapa de Calor inherente'!$AG$6,'[22]Mapa de Calor inherente'!$AE$6,IF(P742='[22]Mapa de Calor inherente'!$AG$7,'[22]Mapa de Calor inherente'!$AE$7,IF(P742='[22]Mapa de Calor inherente'!$AG$8,'[22]Mapa de Calor inherente'!$AE$8,IF(P742='[22]Mapa de Calor inherente'!$AG$9,'[22]Mapa de Calor inherente'!$AE$9,IF(P742='[22]Mapa de Calor inherente'!$AG$10,'[22]Mapa de Calor inherente'!$AE$10,IF(P742='[22]Mapa de Calor inherente'!$AD$8,'[22]Mapa de Calor inherente'!$AE$8,IF(P742='[22]Mapa de Calor inherente'!$AD$9,'[22]Mapa de Calor inherente'!$AE$9,IF(P742='[22]Mapa de Calor inherente'!$AD$10,'[22]Mapa de Calor inherente'!$AE$10))))))))))))))</f>
        <v>1</v>
      </c>
      <c r="S742" s="292"/>
      <c r="T742" s="603" t="str">
        <f>+IF(N742=$BB$17,IF(Q742=$BC$16,$BC$17,IF(Q742=$BD$16,$BD$17,IF(Q742=$BE$16,$BE$17,IF(Q742=$BF$16,$BF$17,IF(Q742=$BG$16,$BG$17))))),IF(N742=$BB$18,IF(Q742=$BC$16,$BC$18,IF(Q742=$BD$16,$BD$18,IF(Q742=$BE$16,$BE$18,IF(Q742=$BF$16,$BF$18,IF(Q742=$BG$16,$BG$18))))),IF(N742=$BB$19,IF(Q742=$BC$16,$BC$19,IF(Q742=$BD$16,$BD$19,IF(Q742=$BE$16,$BE$19,IF(Q742=$BF$16,$BF$19,IF(Q742=$BG$16,$BG$19))))),IF(N742=$BB$20,IF(Q742=$BC$16,$BC$20,IF(Q742=$BD$16,$BD$20,IF(Q742=$BE$16,$BE$20,IF(Q742=$BF$16,$BF$20,IF(Q742=$BG$16,$BG$20))))),IF(N742=$BB$21,IF(Q742=$BC$16,$BC$21,IF(Q742=$BD$16,$BD$21,IF(Q742=$BE$16,$BE$21,IF(Q742=$BF$16,$BF$21,IF(Q742=$BG$16,$BG$21))))),"")))))</f>
        <v>Extremo</v>
      </c>
      <c r="U742" s="139" t="s">
        <v>171</v>
      </c>
      <c r="V742" s="488" t="s">
        <v>874</v>
      </c>
      <c r="W742" s="313" t="s">
        <v>40</v>
      </c>
      <c r="X742" s="314">
        <f>IF(W742=[22]Listas!$B$46,[22]Listas!$C$46,IF(W742=[22]Listas!$B$47,[22]Listas!$C$47,IF(W742=[22]Listas!$B$48,[22]Listas!$C$48,"")))</f>
        <v>0.25</v>
      </c>
      <c r="Y742" s="315" t="str">
        <f>IF(OR(W742=[22]Listas!$F$53,W742=[22]Listas!$F$54),[22]Listas!$G$53,IF(W742=[22]Listas!$F$55,[22]Listas!$G$55,""))</f>
        <v>Probabilidad</v>
      </c>
      <c r="Z742" s="313" t="s">
        <v>43</v>
      </c>
      <c r="AA742" s="314">
        <f>+IF(Z742=[22]Listas!$E$46,[22]Listas!$F$46,IF(Z742=[22]Listas!$E$47,[22]Listas!$F$47,""))</f>
        <v>0.15</v>
      </c>
      <c r="AB742" s="181">
        <f>IFERROR(X742+AA742,"")</f>
        <v>0.4</v>
      </c>
      <c r="AC742" s="313" t="s">
        <v>57</v>
      </c>
      <c r="AD742" s="316" t="s">
        <v>58</v>
      </c>
      <c r="AE742" s="317" t="s">
        <v>59</v>
      </c>
      <c r="AF742" s="299" t="str">
        <f t="shared" si="109"/>
        <v>Baja</v>
      </c>
      <c r="AG742" s="141">
        <f>IF(Y742=[22]Listas!$G$53,O742-(O742*AB742),O742)</f>
        <v>0.24</v>
      </c>
      <c r="AH742" s="561">
        <f>+IF(AG751="","",AG751)</f>
        <v>0.14399999999999999</v>
      </c>
      <c r="AI742" s="299" t="str">
        <f>IF(AJ742="","",IF(AJ742&lt;=20%,"Leve",IF(AJ742&lt;=40%,"Menor",IF(AJ742&lt;=60%,"Moderado",IF(AJ742&lt;=80%,"Mayor","Catastrófico")))))</f>
        <v>Catastrófico</v>
      </c>
      <c r="AJ742" s="141">
        <f>IF(Y742=[22]Listas!$G$55,R742-(R742*AB742),R742)</f>
        <v>1</v>
      </c>
      <c r="AK742" s="561">
        <f>+IF(AJ751="","",AJ751)</f>
        <v>1</v>
      </c>
      <c r="AL742" s="564" t="str">
        <f>+IF(AH742=0,"",IF(AH742&lt;=$BA$21,$BB$21,IF(AH742&lt;=$BA$20,$BB$20,IF(AH742&lt;=$BA$19,$BB$19,IF(AH742&lt;=$BA$18,$BB$18,IF(AH742&lt;=$BA$17,$BB$17,""))))))</f>
        <v>Muy Baja</v>
      </c>
      <c r="AM742" s="564" t="str">
        <f>+IF(AK742=0,"",IF(AK742&lt;=$BC$15,$BC$16,IF(AK742&lt;=$BD$15,$BD$16,IF(AK742&lt;=$BE$15,$BE$16,IF(AK742&lt;=$BF$15,$BF$16,IF(AK742&lt;=$BG$15,$BG$16,""))))))</f>
        <v>Catastrófico</v>
      </c>
      <c r="AN742" s="564" t="str">
        <f>IF(AL742=$BB$17,IF(AM742=$BC$16,$BC$17,IF(AM742=$BD$16,$BD$17,IF(AM742=$BE$16,$BE$17,IF(AM742=$BF$16,$BF$17,IF(AM742=$BG$16,$BG$17))))),IF(AL742=$BB$18,IF(AM742=$BC$16,$BC$18,IF(AM742=$BD$16,$BD$18,IF(AM742=$BE$16,$BE$18,IF(AM742=$BF$16,$BF$18,IF(AM742=$BG$16,$BG$18))))),IF(AL742=$BB$19,IF(AM742=$BC$16,$BC$19,IF(AM742=$BD$16,$BD$19,IF(AM742=$BE$16,$BE$19,IF(AM742=$BF$16,$BF$19,IF(AM742=$BG$16,$BG$19))))),IF(AL742=$BB$20,IF(AM742=$BC$16,$BC$20,IF(AM742=$BD$16,$BD$20,IF(AM742=$BE$16,$BE$20,IF(AM742=$BF$16,$BF$20,IF(AM742=$BG$16,$BG$20))))),IF(AL742=$BB$21,IF(AM742=$BC$16,$BC$21,IF(AM742=$BD$16,$BD$21,IF(AM742=$BE$16,$BE$21,IF(AM742=$BF$16,$BF$21,IF(AM742=$BG$16,$BG$21))))),"")))))</f>
        <v>Extremo</v>
      </c>
      <c r="AO742" s="567" t="str">
        <f>IF(AP742="","",IF(AP742=[22]Listas!$F$61,[22]Listas!$G$61,IF(AP742=[22]Listas!$F$63,[22]Listas!$G$63,IF(AP742=[22]Listas!$F$64,[22]Listas!$G$64))))</f>
        <v>Requiere Plan de Acción</v>
      </c>
      <c r="AP742" s="570" t="str">
        <f>IF(AN742="","",IF(OR(AN742=[22]Listas!$E$61,AN742=[22]Listas!$E$62),[22]Listas!$F$61,IF(AN742=[22]Listas!$E$63,[22]Listas!$F$63,IF(AN742=[22]Listas!$E$64,[22]Listas!$F$64))))</f>
        <v>Reducir, evitar, compartir o transferir el riesgo</v>
      </c>
      <c r="AQ742" s="342" t="s">
        <v>80</v>
      </c>
      <c r="AR742" s="119" t="s">
        <v>875</v>
      </c>
    </row>
    <row r="743" spans="2:44" ht="211.5" customHeight="1" thickTop="1" thickBot="1" x14ac:dyDescent="0.4">
      <c r="B743" s="537"/>
      <c r="C743" s="560"/>
      <c r="D743" s="610"/>
      <c r="E743" s="577"/>
      <c r="F743" s="646"/>
      <c r="G743" s="663"/>
      <c r="H743" s="666"/>
      <c r="I743" s="589"/>
      <c r="J743" s="589"/>
      <c r="K743" s="592"/>
      <c r="L743" s="589"/>
      <c r="M743" s="595"/>
      <c r="N743" s="598"/>
      <c r="O743" s="601"/>
      <c r="P743" s="595"/>
      <c r="Q743" s="604"/>
      <c r="R743" s="601"/>
      <c r="S743" s="286"/>
      <c r="T743" s="604"/>
      <c r="U743" s="142" t="s">
        <v>174</v>
      </c>
      <c r="V743" s="505" t="s">
        <v>876</v>
      </c>
      <c r="W743" s="319" t="s">
        <v>40</v>
      </c>
      <c r="X743" s="320">
        <f>IF(W743=[22]Listas!$B$46,[22]Listas!$C$46,IF(W743=[22]Listas!$B$47,[22]Listas!$C$47,IF(W743=[22]Listas!$B$48,[22]Listas!$C$48,"")))</f>
        <v>0.25</v>
      </c>
      <c r="Y743" s="321" t="str">
        <f>IF(OR(W743=[22]Listas!$F$53,W743=[22]Listas!$F$54),[22]Listas!$G$53,IF(W743=[22]Listas!$F$55,[22]Listas!$G$55,""))</f>
        <v>Probabilidad</v>
      </c>
      <c r="Z743" s="319" t="s">
        <v>43</v>
      </c>
      <c r="AA743" s="182">
        <f>+IF(Z743=[22]Listas!$E$46,[22]Listas!$F$46,IF(Z743=[22]Listas!$E$47,[22]Listas!$F$47,""))</f>
        <v>0.15</v>
      </c>
      <c r="AB743" s="183">
        <f>IFERROR(X743+AA743,"")</f>
        <v>0.4</v>
      </c>
      <c r="AC743" s="319" t="s">
        <v>57</v>
      </c>
      <c r="AD743" s="322" t="s">
        <v>58</v>
      </c>
      <c r="AE743" s="323" t="s">
        <v>59</v>
      </c>
      <c r="AF743" s="305" t="str">
        <f t="shared" si="109"/>
        <v>Muy baja</v>
      </c>
      <c r="AG743" s="145">
        <f>IF(Y743=[22]Listas!$G$53,AG742-(AG742*AB743),AG742)</f>
        <v>0.14399999999999999</v>
      </c>
      <c r="AH743" s="562"/>
      <c r="AI743" s="305" t="str">
        <f t="shared" si="110"/>
        <v>Catastrófico</v>
      </c>
      <c r="AJ743" s="145">
        <f>IF(Y743=[22]Listas!$G$55,AJ742-(AJ742*AB743),AJ742)</f>
        <v>1</v>
      </c>
      <c r="AK743" s="562"/>
      <c r="AL743" s="565"/>
      <c r="AM743" s="565"/>
      <c r="AN743" s="565"/>
      <c r="AO743" s="568"/>
      <c r="AP743" s="571"/>
      <c r="AQ743" s="344" t="s">
        <v>90</v>
      </c>
      <c r="AR743" s="191" t="s">
        <v>856</v>
      </c>
    </row>
    <row r="744" spans="2:44" ht="15.65" hidden="1" customHeight="1" thickBot="1" x14ac:dyDescent="0.4">
      <c r="B744" s="537"/>
      <c r="C744" s="560"/>
      <c r="D744" s="610"/>
      <c r="E744" s="577"/>
      <c r="F744" s="646"/>
      <c r="G744" s="663"/>
      <c r="H744" s="666"/>
      <c r="I744" s="589"/>
      <c r="J744" s="589"/>
      <c r="K744" s="592"/>
      <c r="L744" s="589"/>
      <c r="M744" s="595"/>
      <c r="N744" s="598"/>
      <c r="O744" s="601"/>
      <c r="P744" s="595"/>
      <c r="Q744" s="604"/>
      <c r="R744" s="601"/>
      <c r="S744" s="287"/>
      <c r="T744" s="604"/>
      <c r="U744" s="142" t="s">
        <v>180</v>
      </c>
      <c r="V744" s="415"/>
      <c r="W744" s="319"/>
      <c r="X744" s="320" t="str">
        <f>IF(W744=[22]Listas!$B$46,[22]Listas!$C$46,IF(W744=[22]Listas!$B$47,[22]Listas!$C$47,IF(W744=[22]Listas!$B$48,[22]Listas!$C$48,"")))</f>
        <v/>
      </c>
      <c r="Y744" s="321" t="str">
        <f>IF(OR(W744=[22]Listas!$F$53,W744=[22]Listas!$F$54),[22]Listas!$G$53,IF(W744=[22]Listas!$F$55,[22]Listas!$G$55,""))</f>
        <v/>
      </c>
      <c r="Z744" s="319"/>
      <c r="AA744" s="182" t="str">
        <f>+IF(Z744=[22]Listas!$E$46,[22]Listas!$F$46,IF(Z744=[22]Listas!$E$47,[22]Listas!$F$47,""))</f>
        <v/>
      </c>
      <c r="AB744" s="183" t="str">
        <f>IFERROR(X744+AA744,"")</f>
        <v/>
      </c>
      <c r="AC744" s="319"/>
      <c r="AD744" s="322"/>
      <c r="AE744" s="323"/>
      <c r="AF744" s="305" t="str">
        <f t="shared" si="109"/>
        <v>Muy baja</v>
      </c>
      <c r="AG744" s="145">
        <f>IF(Y744=[22]Listas!$G$53,AG743-(AG743*AB744),AG743)</f>
        <v>0.14399999999999999</v>
      </c>
      <c r="AH744" s="562"/>
      <c r="AI744" s="305" t="str">
        <f t="shared" si="110"/>
        <v>Catastrófico</v>
      </c>
      <c r="AJ744" s="145">
        <f>IF(Y744=[22]Listas!$G$55,AJ743-(AJ743*AB744),AJ743)</f>
        <v>1</v>
      </c>
      <c r="AK744" s="562"/>
      <c r="AL744" s="565"/>
      <c r="AM744" s="565"/>
      <c r="AN744" s="565"/>
      <c r="AO744" s="568"/>
      <c r="AP744" s="571"/>
      <c r="AQ744" s="344"/>
      <c r="AR744" s="191"/>
    </row>
    <row r="745" spans="2:44" ht="15.65" hidden="1" customHeight="1" thickBot="1" x14ac:dyDescent="0.4">
      <c r="B745" s="537"/>
      <c r="C745" s="560"/>
      <c r="D745" s="610"/>
      <c r="E745" s="577"/>
      <c r="F745" s="646"/>
      <c r="G745" s="663"/>
      <c r="H745" s="666"/>
      <c r="I745" s="589"/>
      <c r="J745" s="589"/>
      <c r="K745" s="592"/>
      <c r="L745" s="589"/>
      <c r="M745" s="595"/>
      <c r="N745" s="598"/>
      <c r="O745" s="601"/>
      <c r="P745" s="595"/>
      <c r="Q745" s="604"/>
      <c r="R745" s="601"/>
      <c r="S745" s="287"/>
      <c r="T745" s="604"/>
      <c r="U745" s="142" t="s">
        <v>190</v>
      </c>
      <c r="V745" s="415"/>
      <c r="W745" s="319"/>
      <c r="X745" s="320" t="str">
        <f>IF(W745=[22]Listas!$B$46,[22]Listas!$C$46,IF(W745=[22]Listas!$B$47,[22]Listas!$C$47,IF(W745=[22]Listas!$B$48,[22]Listas!$C$48,"")))</f>
        <v/>
      </c>
      <c r="Y745" s="321" t="str">
        <f>IF(OR(W745=[22]Listas!$F$53,W745=[22]Listas!$F$54),[22]Listas!$G$53,IF(W745=[22]Listas!$F$55,[22]Listas!$G$55,""))</f>
        <v/>
      </c>
      <c r="Z745" s="319"/>
      <c r="AA745" s="182" t="str">
        <f>+IF(Z745=[22]Listas!$E$46,[22]Listas!$F$46,IF(Z745=[22]Listas!$E$47,[22]Listas!$F$47,""))</f>
        <v/>
      </c>
      <c r="AB745" s="183" t="str">
        <f t="shared" ref="AB745:AB751" si="113">IFERROR(X745+AA745,"")</f>
        <v/>
      </c>
      <c r="AC745" s="319"/>
      <c r="AD745" s="322"/>
      <c r="AE745" s="323"/>
      <c r="AF745" s="305" t="str">
        <f t="shared" si="109"/>
        <v>Muy baja</v>
      </c>
      <c r="AG745" s="145">
        <f>IF(Y745=[22]Listas!$G$53,AG744-(AG744*AB745),AG744)</f>
        <v>0.14399999999999999</v>
      </c>
      <c r="AH745" s="562"/>
      <c r="AI745" s="305" t="str">
        <f t="shared" si="110"/>
        <v>Catastrófico</v>
      </c>
      <c r="AJ745" s="145">
        <f>IF(Y745=[22]Listas!$G$55,AJ744-(AJ744*AB745),AJ744)</f>
        <v>1</v>
      </c>
      <c r="AK745" s="562"/>
      <c r="AL745" s="565"/>
      <c r="AM745" s="565"/>
      <c r="AN745" s="565"/>
      <c r="AO745" s="568"/>
      <c r="AP745" s="571"/>
      <c r="AQ745" s="344"/>
      <c r="AR745" s="191"/>
    </row>
    <row r="746" spans="2:44" ht="15.65" hidden="1" customHeight="1" thickTop="1" x14ac:dyDescent="0.35">
      <c r="B746" s="537"/>
      <c r="C746" s="560"/>
      <c r="D746" s="610"/>
      <c r="E746" s="577"/>
      <c r="F746" s="646"/>
      <c r="G746" s="663"/>
      <c r="H746" s="666"/>
      <c r="I746" s="589"/>
      <c r="J746" s="589"/>
      <c r="K746" s="592"/>
      <c r="L746" s="589"/>
      <c r="M746" s="595"/>
      <c r="N746" s="598"/>
      <c r="O746" s="601"/>
      <c r="P746" s="595"/>
      <c r="Q746" s="604"/>
      <c r="R746" s="601"/>
      <c r="S746" s="287"/>
      <c r="T746" s="604"/>
      <c r="U746" s="142" t="s">
        <v>198</v>
      </c>
      <c r="V746" s="415"/>
      <c r="W746" s="319"/>
      <c r="X746" s="320" t="str">
        <f>IF(W746=[22]Listas!$B$46,[22]Listas!$C$46,IF(W746=[22]Listas!$B$47,[22]Listas!$C$47,IF(W746=[22]Listas!$B$48,[22]Listas!$C$48,"")))</f>
        <v/>
      </c>
      <c r="Y746" s="321" t="str">
        <f>IF(OR(W746=[22]Listas!$F$53,W746=[22]Listas!$F$54),[22]Listas!$G$53,IF(W746=[22]Listas!$F$55,[22]Listas!$G$55,""))</f>
        <v/>
      </c>
      <c r="Z746" s="319"/>
      <c r="AA746" s="182" t="str">
        <f>+IF(Z746=[22]Listas!$E$46,[22]Listas!$F$46,IF(Z746=[22]Listas!$E$47,[22]Listas!$F$47,""))</f>
        <v/>
      </c>
      <c r="AB746" s="183" t="str">
        <f t="shared" si="113"/>
        <v/>
      </c>
      <c r="AC746" s="319"/>
      <c r="AD746" s="322"/>
      <c r="AE746" s="323"/>
      <c r="AF746" s="305" t="str">
        <f t="shared" si="109"/>
        <v>Muy baja</v>
      </c>
      <c r="AG746" s="145">
        <f>IF(Y746=[22]Listas!$G$53,AG745-(AG745*AB746),AG745)</f>
        <v>0.14399999999999999</v>
      </c>
      <c r="AH746" s="562"/>
      <c r="AI746" s="305" t="str">
        <f t="shared" si="110"/>
        <v>Catastrófico</v>
      </c>
      <c r="AJ746" s="145">
        <f>IF(Y746=[22]Listas!$G$55,AJ745-(AJ745*AB746),AJ745)</f>
        <v>1</v>
      </c>
      <c r="AK746" s="562"/>
      <c r="AL746" s="565"/>
      <c r="AM746" s="565"/>
      <c r="AN746" s="565"/>
      <c r="AO746" s="568"/>
      <c r="AP746" s="571"/>
      <c r="AQ746" s="344"/>
      <c r="AR746" s="191"/>
    </row>
    <row r="747" spans="2:44" ht="16" hidden="1" customHeight="1" thickTop="1" x14ac:dyDescent="0.35">
      <c r="B747" s="537"/>
      <c r="C747" s="560"/>
      <c r="D747" s="610"/>
      <c r="E747" s="577"/>
      <c r="F747" s="646"/>
      <c r="G747" s="663"/>
      <c r="H747" s="666"/>
      <c r="I747" s="589"/>
      <c r="J747" s="589"/>
      <c r="K747" s="592"/>
      <c r="L747" s="589"/>
      <c r="M747" s="595"/>
      <c r="N747" s="598"/>
      <c r="O747" s="601"/>
      <c r="P747" s="595"/>
      <c r="Q747" s="604"/>
      <c r="R747" s="601"/>
      <c r="S747" s="288"/>
      <c r="T747" s="604"/>
      <c r="U747" s="142" t="s">
        <v>208</v>
      </c>
      <c r="V747" s="415"/>
      <c r="W747" s="319"/>
      <c r="X747" s="320" t="str">
        <f>IF(W747=[22]Listas!$B$46,[22]Listas!$C$46,IF(W747=[22]Listas!$B$47,[22]Listas!$C$47,IF(W747=[22]Listas!$B$48,[22]Listas!$C$48,"")))</f>
        <v/>
      </c>
      <c r="Y747" s="321" t="str">
        <f>IF(OR(W747=[22]Listas!$F$53,W747=[22]Listas!$F$54),[22]Listas!$G$53,IF(W747=[22]Listas!$F$55,[22]Listas!$G$55,""))</f>
        <v/>
      </c>
      <c r="Z747" s="319"/>
      <c r="AA747" s="182" t="str">
        <f>+IF(Z747=[22]Listas!$E$46,[22]Listas!$F$46,IF(Z747=[22]Listas!$E$47,[22]Listas!$F$47,""))</f>
        <v/>
      </c>
      <c r="AB747" s="183" t="str">
        <f t="shared" si="113"/>
        <v/>
      </c>
      <c r="AC747" s="319"/>
      <c r="AD747" s="322"/>
      <c r="AE747" s="323"/>
      <c r="AF747" s="305" t="str">
        <f t="shared" si="109"/>
        <v>Muy baja</v>
      </c>
      <c r="AG747" s="145">
        <f>IF(Y747=[22]Listas!$G$53,AG746-(AG746*AB747),AG746)</f>
        <v>0.14399999999999999</v>
      </c>
      <c r="AH747" s="562"/>
      <c r="AI747" s="305" t="str">
        <f t="shared" si="110"/>
        <v>Catastrófico</v>
      </c>
      <c r="AJ747" s="145">
        <f>IF(Y747=[22]Listas!$G$55,AJ746-(AJ746*AB747),AJ746)</f>
        <v>1</v>
      </c>
      <c r="AK747" s="562"/>
      <c r="AL747" s="565"/>
      <c r="AM747" s="565"/>
      <c r="AN747" s="565"/>
      <c r="AO747" s="568"/>
      <c r="AP747" s="571"/>
      <c r="AQ747" s="344"/>
      <c r="AR747" s="191"/>
    </row>
    <row r="748" spans="2:44" ht="15.65" hidden="1" customHeight="1" thickTop="1" x14ac:dyDescent="0.35">
      <c r="B748" s="537"/>
      <c r="C748" s="560"/>
      <c r="D748" s="610"/>
      <c r="E748" s="577"/>
      <c r="F748" s="646"/>
      <c r="G748" s="663"/>
      <c r="H748" s="666"/>
      <c r="I748" s="589"/>
      <c r="J748" s="589"/>
      <c r="K748" s="592"/>
      <c r="L748" s="589"/>
      <c r="M748" s="595"/>
      <c r="N748" s="598"/>
      <c r="O748" s="601"/>
      <c r="P748" s="595"/>
      <c r="Q748" s="604"/>
      <c r="R748" s="601"/>
      <c r="S748" s="289"/>
      <c r="T748" s="604"/>
      <c r="U748" s="142" t="s">
        <v>215</v>
      </c>
      <c r="V748" s="418"/>
      <c r="W748" s="331"/>
      <c r="X748" s="320" t="str">
        <f>IF(W748=[22]Listas!$B$46,[22]Listas!$C$46,IF(W748=[22]Listas!$B$47,[22]Listas!$C$47,IF(W748=[22]Listas!$B$48,[22]Listas!$C$48,"")))</f>
        <v/>
      </c>
      <c r="Y748" s="321" t="str">
        <f>IF(OR(W748=[22]Listas!$F$53,W748=[22]Listas!$F$54),[22]Listas!$G$53,IF(W748=[22]Listas!$F$55,[22]Listas!$G$55,""))</f>
        <v/>
      </c>
      <c r="Z748" s="331"/>
      <c r="AA748" s="182" t="str">
        <f>+IF(Z748=[22]Listas!$E$46,[22]Listas!$F$46,IF(Z748=[22]Listas!$E$47,[22]Listas!$F$47,""))</f>
        <v/>
      </c>
      <c r="AB748" s="183" t="str">
        <f t="shared" si="113"/>
        <v/>
      </c>
      <c r="AC748" s="319"/>
      <c r="AD748" s="322"/>
      <c r="AE748" s="323"/>
      <c r="AF748" s="305" t="str">
        <f t="shared" si="109"/>
        <v>Muy baja</v>
      </c>
      <c r="AG748" s="145">
        <f>IF(Y748=[22]Listas!$G$53,AG747-(AG747*AB748),AG747)</f>
        <v>0.14399999999999999</v>
      </c>
      <c r="AH748" s="562"/>
      <c r="AI748" s="305" t="str">
        <f t="shared" si="110"/>
        <v>Catastrófico</v>
      </c>
      <c r="AJ748" s="145">
        <f>IF(Y748=[22]Listas!$G$55,AJ747-(AJ747*AB748),AJ747)</f>
        <v>1</v>
      </c>
      <c r="AK748" s="562"/>
      <c r="AL748" s="565"/>
      <c r="AM748" s="565"/>
      <c r="AN748" s="565"/>
      <c r="AO748" s="568"/>
      <c r="AP748" s="571"/>
      <c r="AQ748" s="344"/>
      <c r="AR748" s="191"/>
    </row>
    <row r="749" spans="2:44" ht="15.65" hidden="1" customHeight="1" thickTop="1" x14ac:dyDescent="0.35">
      <c r="B749" s="537"/>
      <c r="C749" s="560"/>
      <c r="D749" s="610"/>
      <c r="E749" s="577"/>
      <c r="F749" s="646"/>
      <c r="G749" s="663"/>
      <c r="H749" s="666"/>
      <c r="I749" s="589"/>
      <c r="J749" s="589"/>
      <c r="K749" s="592"/>
      <c r="L749" s="589"/>
      <c r="M749" s="595"/>
      <c r="N749" s="598"/>
      <c r="O749" s="601"/>
      <c r="P749" s="595"/>
      <c r="Q749" s="604"/>
      <c r="R749" s="601"/>
      <c r="S749" s="289"/>
      <c r="T749" s="604"/>
      <c r="U749" s="142" t="s">
        <v>220</v>
      </c>
      <c r="V749" s="418"/>
      <c r="W749" s="331"/>
      <c r="X749" s="320" t="str">
        <f>IF(W749=[22]Listas!$B$46,[22]Listas!$C$46,IF(W749=[22]Listas!$B$47,[22]Listas!$C$47,IF(W749=[22]Listas!$B$48,[22]Listas!$C$48,"")))</f>
        <v/>
      </c>
      <c r="Y749" s="321" t="str">
        <f>IF(OR(W749=[22]Listas!$F$53,W749=[22]Listas!$F$54),[22]Listas!$G$53,IF(W749=[22]Listas!$F$55,[22]Listas!$G$55,""))</f>
        <v/>
      </c>
      <c r="Z749" s="331"/>
      <c r="AA749" s="182" t="str">
        <f>+IF(Z749=[22]Listas!$E$46,[22]Listas!$F$46,IF(Z749=[22]Listas!$E$47,[22]Listas!$F$47,""))</f>
        <v/>
      </c>
      <c r="AB749" s="183" t="str">
        <f t="shared" si="113"/>
        <v/>
      </c>
      <c r="AC749" s="319"/>
      <c r="AD749" s="322"/>
      <c r="AE749" s="323"/>
      <c r="AF749" s="305" t="str">
        <f t="shared" si="109"/>
        <v>Muy baja</v>
      </c>
      <c r="AG749" s="145">
        <f>IF(Y749=[22]Listas!$G$53,AG748-(AG748*AB749),AG748)</f>
        <v>0.14399999999999999</v>
      </c>
      <c r="AH749" s="562"/>
      <c r="AI749" s="305" t="str">
        <f t="shared" si="110"/>
        <v>Catastrófico</v>
      </c>
      <c r="AJ749" s="145">
        <f>IF(Y749=[22]Listas!$G$55,AJ748-(AJ748*AB749),AJ748)</f>
        <v>1</v>
      </c>
      <c r="AK749" s="562"/>
      <c r="AL749" s="565"/>
      <c r="AM749" s="565"/>
      <c r="AN749" s="565"/>
      <c r="AO749" s="568"/>
      <c r="AP749" s="571"/>
      <c r="AQ749" s="344"/>
      <c r="AR749" s="191"/>
    </row>
    <row r="750" spans="2:44" ht="15.65" hidden="1" customHeight="1" thickTop="1" x14ac:dyDescent="0.35">
      <c r="B750" s="537"/>
      <c r="C750" s="560"/>
      <c r="D750" s="610"/>
      <c r="E750" s="577"/>
      <c r="F750" s="646"/>
      <c r="G750" s="663"/>
      <c r="H750" s="666"/>
      <c r="I750" s="589"/>
      <c r="J750" s="589"/>
      <c r="K750" s="592"/>
      <c r="L750" s="589"/>
      <c r="M750" s="595"/>
      <c r="N750" s="598"/>
      <c r="O750" s="601"/>
      <c r="P750" s="595"/>
      <c r="Q750" s="604"/>
      <c r="R750" s="601"/>
      <c r="S750" s="289"/>
      <c r="T750" s="604"/>
      <c r="U750" s="142" t="s">
        <v>223</v>
      </c>
      <c r="V750" s="418"/>
      <c r="W750" s="331"/>
      <c r="X750" s="320" t="str">
        <f>IF(W750=[22]Listas!$B$46,[22]Listas!$C$46,IF(W750=[22]Listas!$B$47,[22]Listas!$C$47,IF(W750=[22]Listas!$B$48,[22]Listas!$C$48,"")))</f>
        <v/>
      </c>
      <c r="Y750" s="321" t="str">
        <f>IF(OR(W750=[22]Listas!$F$53,W750=[22]Listas!$F$54),[22]Listas!$G$53,IF(W750=[22]Listas!$F$55,[22]Listas!$G$55,""))</f>
        <v/>
      </c>
      <c r="Z750" s="331"/>
      <c r="AA750" s="182" t="str">
        <f>+IF(Z750=[22]Listas!$E$46,[22]Listas!$F$46,IF(Z750=[22]Listas!$E$47,[22]Listas!$F$47,""))</f>
        <v/>
      </c>
      <c r="AB750" s="183" t="str">
        <f t="shared" si="113"/>
        <v/>
      </c>
      <c r="AC750" s="319"/>
      <c r="AD750" s="322"/>
      <c r="AE750" s="323"/>
      <c r="AF750" s="305" t="str">
        <f t="shared" si="109"/>
        <v>Muy baja</v>
      </c>
      <c r="AG750" s="145">
        <f>IF(Y750=[22]Listas!$G$53,AG749-(AG749*AB750),AG749)</f>
        <v>0.14399999999999999</v>
      </c>
      <c r="AH750" s="562"/>
      <c r="AI750" s="305" t="str">
        <f t="shared" si="110"/>
        <v>Catastrófico</v>
      </c>
      <c r="AJ750" s="145">
        <f>IF(Y750=[22]Listas!$G$55,AJ749-(AJ749*AB750),AJ749)</f>
        <v>1</v>
      </c>
      <c r="AK750" s="562"/>
      <c r="AL750" s="565"/>
      <c r="AM750" s="565"/>
      <c r="AN750" s="565"/>
      <c r="AO750" s="568"/>
      <c r="AP750" s="571"/>
      <c r="AQ750" s="344"/>
      <c r="AR750" s="191"/>
    </row>
    <row r="751" spans="2:44" ht="17.25" hidden="1" customHeight="1" thickTop="1" thickBot="1" x14ac:dyDescent="0.4">
      <c r="B751" s="537"/>
      <c r="C751" s="560"/>
      <c r="D751" s="611"/>
      <c r="E751" s="578"/>
      <c r="F751" s="647"/>
      <c r="G751" s="664"/>
      <c r="H751" s="667"/>
      <c r="I751" s="590"/>
      <c r="J751" s="590"/>
      <c r="K751" s="593"/>
      <c r="L751" s="590"/>
      <c r="M751" s="596"/>
      <c r="N751" s="599"/>
      <c r="O751" s="602"/>
      <c r="P751" s="596"/>
      <c r="Q751" s="605"/>
      <c r="R751" s="602"/>
      <c r="S751" s="293"/>
      <c r="T751" s="605"/>
      <c r="U751" s="202" t="s">
        <v>224</v>
      </c>
      <c r="V751" s="416"/>
      <c r="W751" s="335"/>
      <c r="X751" s="336" t="str">
        <f>IF(W751=[22]Listas!$B$46,[22]Listas!$C$46,IF(W751=[22]Listas!$B$47,[22]Listas!$C$47,IF(W751=[22]Listas!$B$48,[22]Listas!$C$48,"")))</f>
        <v/>
      </c>
      <c r="Y751" s="337" t="str">
        <f>IF(OR(W751=[22]Listas!$F$53,W751=[22]Listas!$F$54),[22]Listas!$G$53,IF(W751=[22]Listas!$F$55,[22]Listas!$G$55,""))</f>
        <v/>
      </c>
      <c r="Z751" s="335"/>
      <c r="AA751" s="186" t="str">
        <f>+IF(Z751=[22]Listas!$E$46,[22]Listas!$F$46,IF(Z751=[22]Listas!$E$47,[22]Listas!$F$47,""))</f>
        <v/>
      </c>
      <c r="AB751" s="187" t="str">
        <f t="shared" si="113"/>
        <v/>
      </c>
      <c r="AC751" s="338"/>
      <c r="AD751" s="339"/>
      <c r="AE751" s="340"/>
      <c r="AF751" s="311" t="str">
        <f t="shared" si="109"/>
        <v>Muy baja</v>
      </c>
      <c r="AG751" s="179">
        <f>IF(Y751=[22]Listas!$G$53,AG750-(AG750*AB751),AG750)</f>
        <v>0.14399999999999999</v>
      </c>
      <c r="AH751" s="563"/>
      <c r="AI751" s="311" t="str">
        <f t="shared" si="110"/>
        <v>Catastrófico</v>
      </c>
      <c r="AJ751" s="179">
        <f>IF(Y751=[22]Listas!$G$55,AJ750-(AJ750*AB751),AJ750)</f>
        <v>1</v>
      </c>
      <c r="AK751" s="563"/>
      <c r="AL751" s="566"/>
      <c r="AM751" s="566"/>
      <c r="AN751" s="566"/>
      <c r="AO751" s="569"/>
      <c r="AP751" s="572"/>
      <c r="AQ751" s="346"/>
      <c r="AR751" s="192"/>
    </row>
    <row r="752" spans="2:44" ht="365" thickTop="1" thickBot="1" x14ac:dyDescent="0.4">
      <c r="B752" s="537"/>
      <c r="C752" s="560"/>
      <c r="D752" s="609" t="s">
        <v>877</v>
      </c>
      <c r="E752" s="576" t="s">
        <v>4</v>
      </c>
      <c r="F752" s="645" t="s">
        <v>878</v>
      </c>
      <c r="G752" s="683" t="s">
        <v>879</v>
      </c>
      <c r="H752" s="684" t="s">
        <v>880</v>
      </c>
      <c r="I752" s="588" t="s">
        <v>20</v>
      </c>
      <c r="J752" s="588" t="s">
        <v>22</v>
      </c>
      <c r="K752" s="591" t="s">
        <v>881</v>
      </c>
      <c r="L752" s="588" t="s">
        <v>186</v>
      </c>
      <c r="M752" s="594" t="s">
        <v>207</v>
      </c>
      <c r="N752" s="597" t="str">
        <f>+IF(M752="","",IF(M752=$BO$15,$BN$15,IF(M752=$BO$16,$BN$16,IF(M752=$BO$17,$BN$17,IF(M752=$BO$18,$BN$18,IF(M752=$BO$19,$BN$19))))))</f>
        <v>Baja</v>
      </c>
      <c r="O752" s="600">
        <f>+IF(M752="","",IF(M752=$BO$15,$BR$15,IF(M752=$BO$16,$BR$16,IF(M752=$BO$17,$BR$17,IF(M752=$BO$18,$BR$18,IF(M752=$BO$19,$BR$19))))))</f>
        <v>0.4</v>
      </c>
      <c r="P752" s="594" t="s">
        <v>212</v>
      </c>
      <c r="Q752" s="603" t="str">
        <f>+IF(P752="","",IF(P752='[22]Mapa de Calor inherente'!$AF$6,'[22]Mapa de Calor inherente'!$AD$6,IF(P752='[22]Mapa de Calor inherente'!$AF$7,'[22]Mapa de Calor inherente'!$AD$7,IF(P752='[22]Mapa de Calor inherente'!$AF$8,'[22]Mapa de Calor inherente'!$AD$8,IF(P752='[22]Mapa de Calor inherente'!$AF$9,'[22]Mapa de Calor inherente'!$AD$9,IF(P752='[22]Mapa de Calor inherente'!$AF$10,'[22]Mapa de Calor inherente'!$AD$10,IF(P752='[22]Mapa de Calor inherente'!$AG$6,'[22]Mapa de Calor inherente'!$AD$6,IF(P752='[22]Mapa de Calor inherente'!$AG$7,'[22]Mapa de Calor inherente'!$AD$7,IF(P752='[22]Mapa de Calor inherente'!$AG$8,'[22]Mapa de Calor inherente'!$AD$8,IF(P752='[22]Mapa de Calor inherente'!$AG$9,'[22]Mapa de Calor inherente'!$AD$9,IF(P752='[22]Mapa de Calor inherente'!$AG$10,'[22]Mapa de Calor inherente'!$AD$10,IF(P752='[22]Mapa de Calor inherente'!$AD$8,'[22]Mapa de Calor inherente'!$AD$8,IF(P752='[22]Mapa de Calor inherente'!$AD$9,'[22]Mapa de Calor inherente'!$AD$9,IF(P752='[22]Mapa de Calor inherente'!$AD$10,'[22]Mapa de Calor inherente'!$AD$10))))))))))))))</f>
        <v>Moderado</v>
      </c>
      <c r="R752" s="600">
        <f>+IF(P752="","",IF(P752='[22]Mapa de Calor inherente'!$AF$6,'[22]Mapa de Calor inherente'!$AE$6,IF(P752='[22]Mapa de Calor inherente'!$AF$7,'[22]Mapa de Calor inherente'!$AE$7,IF(P752='[22]Mapa de Calor inherente'!$AF$8,'[22]Mapa de Calor inherente'!$AE$8,IF(P752='[22]Mapa de Calor inherente'!$AF$9,'[22]Mapa de Calor inherente'!$AE$9,IF(P752='[22]Mapa de Calor inherente'!$AF$10,'[22]Mapa de Calor inherente'!$AE$10,IF(P752='[22]Mapa de Calor inherente'!$AG$6,'[22]Mapa de Calor inherente'!$AE$6,IF(P752='[22]Mapa de Calor inherente'!$AG$7,'[22]Mapa de Calor inherente'!$AE$7,IF(P752='[22]Mapa de Calor inherente'!$AG$8,'[22]Mapa de Calor inherente'!$AE$8,IF(P752='[22]Mapa de Calor inherente'!$AG$9,'[22]Mapa de Calor inherente'!$AE$9,IF(P752='[22]Mapa de Calor inherente'!$AG$10,'[22]Mapa de Calor inherente'!$AE$10,IF(P752='[22]Mapa de Calor inherente'!$AD$8,'[22]Mapa de Calor inherente'!$AE$8,IF(P752='[22]Mapa de Calor inherente'!$AD$9,'[22]Mapa de Calor inherente'!$AE$9,IF(P752='[22]Mapa de Calor inherente'!$AD$10,'[22]Mapa de Calor inherente'!$AE$10))))))))))))))</f>
        <v>0.6</v>
      </c>
      <c r="S752" s="292" t="e">
        <f>IF(N752="","",IF(R752="","",(N752*R752)))</f>
        <v>#VALUE!</v>
      </c>
      <c r="T752" s="603" t="str">
        <f>+IF(N752=$BB$17,IF(Q752=$BC$16,$BC$17,IF(Q752=$BD$16,$BD$17,IF(Q752=$BE$16,$BE$17,IF(Q752=$BF$16,$BF$17,IF(Q752=$BG$16,$BG$17))))),IF(N752=$BB$18,IF(Q752=$BC$16,$BC$18,IF(Q752=$BD$16,$BD$18,IF(Q752=$BE$16,$BE$18,IF(Q752=$BF$16,$BF$18,IF(Q752=$BG$16,$BG$18))))),IF(N752=$BB$19,IF(Q752=$BC$16,$BC$19,IF(Q752=$BD$16,$BD$19,IF(Q752=$BE$16,$BE$19,IF(Q752=$BF$16,$BF$19,IF(Q752=$BG$16,$BG$19))))),IF(N752=$BB$20,IF(Q752=$BC$16,$BC$20,IF(Q752=$BD$16,$BD$20,IF(Q752=$BE$16,$BE$20,IF(Q752=$BF$16,$BF$20,IF(Q752=$BG$16,$BG$20))))),IF(N752=$BB$21,IF(Q752=$BC$16,$BC$21,IF(Q752=$BD$16,$BD$21,IF(Q752=$BE$16,$BE$21,IF(Q752=$BF$16,$BF$21,IF(Q752=$BG$16,$BG$21))))),"")))))</f>
        <v>Moderado</v>
      </c>
      <c r="U752" s="139" t="s">
        <v>171</v>
      </c>
      <c r="V752" s="507" t="s">
        <v>882</v>
      </c>
      <c r="W752" s="377" t="s">
        <v>40</v>
      </c>
      <c r="X752" s="314">
        <f>IF(W752=[22]Listas!$B$46,[22]Listas!$C$46,IF(W752=[22]Listas!$B$47,[22]Listas!$C$47,IF(W752=[22]Listas!$B$48,[22]Listas!$C$48,"")))</f>
        <v>0.25</v>
      </c>
      <c r="Y752" s="315" t="str">
        <f>IF(OR(W752=[22]Listas!$F$53,W752=[22]Listas!$F$54),[22]Listas!$G$53,IF(W752=[22]Listas!$F$55,[22]Listas!$G$55,""))</f>
        <v>Probabilidad</v>
      </c>
      <c r="Z752" s="313" t="s">
        <v>43</v>
      </c>
      <c r="AA752" s="314">
        <f>+IF(Z752=[22]Listas!$E$46,[22]Listas!$F$46,IF(Z752=[22]Listas!$E$47,[22]Listas!$F$47,""))</f>
        <v>0.15</v>
      </c>
      <c r="AB752" s="181">
        <f>IFERROR(X752+AA752,"")</f>
        <v>0.4</v>
      </c>
      <c r="AC752" s="313" t="s">
        <v>57</v>
      </c>
      <c r="AD752" s="316" t="s">
        <v>58</v>
      </c>
      <c r="AE752" s="317" t="s">
        <v>59</v>
      </c>
      <c r="AF752" s="299" t="str">
        <f t="shared" si="109"/>
        <v>Baja</v>
      </c>
      <c r="AG752" s="141">
        <f>IF(Y752=[22]Listas!$G$53,O752-(O752*AB752),O752)</f>
        <v>0.24</v>
      </c>
      <c r="AH752" s="561">
        <f>+IF(AG761="","",AG761)</f>
        <v>0.24</v>
      </c>
      <c r="AI752" s="299" t="str">
        <f>IF(AJ752="","",IF(AJ752&lt;=20%,"Leve",IF(AJ752&lt;=40%,"Menor",IF(AJ752&lt;=60%,"Moderado",IF(AJ752&lt;=80%,"Mayor","Catastrófico")))))</f>
        <v>Moderado</v>
      </c>
      <c r="AJ752" s="141">
        <f>IF(Y752=[22]Listas!$G$55,R752-(R752*AB752),R752)</f>
        <v>0.6</v>
      </c>
      <c r="AK752" s="561">
        <f>+IF(AJ761="","",AJ761)</f>
        <v>0.6</v>
      </c>
      <c r="AL752" s="564" t="str">
        <f>+IF(AH752=0,"",IF(AH752&lt;=$BA$21,$BB$21,IF(AH752&lt;=$BA$20,$BB$20,IF(AH752&lt;=$BA$19,$BB$19,IF(AH752&lt;=$BA$18,$BB$18,IF(AH752&lt;=$BA$17,$BB$17,""))))))</f>
        <v>Baja</v>
      </c>
      <c r="AM752" s="564" t="str">
        <f>+IF(AK752=0,"",IF(AK752&lt;=$BC$15,$BC$16,IF(AK752&lt;=$BD$15,$BD$16,IF(AK752&lt;=$BE$15,$BE$16,IF(AK752&lt;=$BF$15,$BF$16,IF(AK752&lt;=$BG$15,$BG$16,""))))))</f>
        <v>Moderado</v>
      </c>
      <c r="AN752" s="564" t="str">
        <f>IF(AL752=$BB$17,IF(AM752=$BC$16,$BC$17,IF(AM752=$BD$16,$BD$17,IF(AM752=$BE$16,$BE$17,IF(AM752=$BF$16,$BF$17,IF(AM752=$BG$16,$BG$17))))),IF(AL752=$BB$18,IF(AM752=$BC$16,$BC$18,IF(AM752=$BD$16,$BD$18,IF(AM752=$BE$16,$BE$18,IF(AM752=$BF$16,$BF$18,IF(AM752=$BG$16,$BG$18))))),IF(AL752=$BB$19,IF(AM752=$BC$16,$BC$19,IF(AM752=$BD$16,$BD$19,IF(AM752=$BE$16,$BE$19,IF(AM752=$BF$16,$BF$19,IF(AM752=$BG$16,$BG$19))))),IF(AL752=$BB$20,IF(AM752=$BC$16,$BC$20,IF(AM752=$BD$16,$BD$20,IF(AM752=$BE$16,$BE$20,IF(AM752=$BF$16,$BF$20,IF(AM752=$BG$16,$BG$20))))),IF(AL752=$BB$21,IF(AM752=$BC$16,$BC$21,IF(AM752=$BD$16,$BD$21,IF(AM752=$BE$16,$BE$21,IF(AM752=$BF$16,$BF$21,IF(AM752=$BG$16,$BG$21))))),"")))))</f>
        <v>Moderado</v>
      </c>
      <c r="AO752" s="567" t="str">
        <f>IF(AP752="","",IF(AP752=[22]Listas!$F$61,[22]Listas!$G$61,IF(AP752=[22]Listas!$F$63,[22]Listas!$G$63,IF(AP752=[22]Listas!$F$64,[22]Listas!$G$64))))</f>
        <v>Requiere Plan de Acción</v>
      </c>
      <c r="AP752" s="570" t="str">
        <f>IF(AN752="","",IF(OR(AN752=[22]Listas!$E$61,AN752=[22]Listas!$E$62),[22]Listas!$F$61,IF(AN752=[22]Listas!$E$63,[22]Listas!$F$63,IF(AN752=[22]Listas!$E$64,[22]Listas!$F$64))))</f>
        <v>Aceptar o reducir el riesgo</v>
      </c>
      <c r="AQ752" s="358" t="s">
        <v>80</v>
      </c>
      <c r="AR752" s="116" t="s">
        <v>883</v>
      </c>
    </row>
    <row r="753" spans="2:44" ht="99" thickTop="1" thickBot="1" x14ac:dyDescent="0.4">
      <c r="B753" s="537"/>
      <c r="C753" s="560"/>
      <c r="D753" s="610" t="s">
        <v>299</v>
      </c>
      <c r="E753" s="577"/>
      <c r="F753" s="646"/>
      <c r="G753" s="663"/>
      <c r="H753" s="666"/>
      <c r="I753" s="589"/>
      <c r="J753" s="589"/>
      <c r="K753" s="592"/>
      <c r="L753" s="589"/>
      <c r="M753" s="595"/>
      <c r="N753" s="598"/>
      <c r="O753" s="601"/>
      <c r="P753" s="595"/>
      <c r="Q753" s="604"/>
      <c r="R753" s="601"/>
      <c r="S753" s="286"/>
      <c r="T753" s="604"/>
      <c r="U753" s="142" t="s">
        <v>174</v>
      </c>
      <c r="V753" s="441"/>
      <c r="W753" s="331"/>
      <c r="X753" s="320" t="str">
        <f>IF(W753=[22]Listas!$B$46,[22]Listas!$C$46,IF(W753=[22]Listas!$B$47,[22]Listas!$C$47,IF(W753=[22]Listas!$B$48,[22]Listas!$C$48,"")))</f>
        <v/>
      </c>
      <c r="Y753" s="321" t="str">
        <f>IF(OR(W753=[22]Listas!$F$53,W753=[22]Listas!$F$54),[22]Listas!$G$53,IF(W753=[22]Listas!$F$55,[22]Listas!$G$55,""))</f>
        <v/>
      </c>
      <c r="Z753" s="319"/>
      <c r="AA753" s="182" t="str">
        <f>+IF(Z753=[22]Listas!$E$46,[22]Listas!$F$46,IF(Z753=[22]Listas!$E$47,[22]Listas!$F$47,""))</f>
        <v/>
      </c>
      <c r="AB753" s="183" t="str">
        <f>IFERROR(X753+AA753,"")</f>
        <v/>
      </c>
      <c r="AC753" s="319"/>
      <c r="AD753" s="322"/>
      <c r="AE753" s="323"/>
      <c r="AF753" s="305" t="str">
        <f t="shared" si="109"/>
        <v>Baja</v>
      </c>
      <c r="AG753" s="145">
        <f>IF(Y753=[22]Listas!$G$53,AG752-(AG752*AB753),AG752)</f>
        <v>0.24</v>
      </c>
      <c r="AH753" s="562"/>
      <c r="AI753" s="305" t="str">
        <f t="shared" si="110"/>
        <v>Moderado</v>
      </c>
      <c r="AJ753" s="145">
        <f>IF(Y753=[22]Listas!$G$55,AJ752-(AJ752*AB753),AJ752)</f>
        <v>0.6</v>
      </c>
      <c r="AK753" s="562"/>
      <c r="AL753" s="565"/>
      <c r="AM753" s="565"/>
      <c r="AN753" s="565"/>
      <c r="AO753" s="568"/>
      <c r="AP753" s="571"/>
      <c r="AQ753" s="343" t="s">
        <v>90</v>
      </c>
      <c r="AR753" s="408" t="s">
        <v>856</v>
      </c>
    </row>
    <row r="754" spans="2:44" ht="15" hidden="1" customHeight="1" thickBot="1" x14ac:dyDescent="0.4">
      <c r="B754" s="537"/>
      <c r="C754" s="560"/>
      <c r="D754" s="610" t="s">
        <v>299</v>
      </c>
      <c r="E754" s="577"/>
      <c r="F754" s="646"/>
      <c r="G754" s="663"/>
      <c r="H754" s="666"/>
      <c r="I754" s="589"/>
      <c r="J754" s="589"/>
      <c r="K754" s="592"/>
      <c r="L754" s="589"/>
      <c r="M754" s="595"/>
      <c r="N754" s="598"/>
      <c r="O754" s="601"/>
      <c r="P754" s="595"/>
      <c r="Q754" s="604"/>
      <c r="R754" s="601"/>
      <c r="S754" s="287"/>
      <c r="T754" s="604"/>
      <c r="U754" s="142" t="s">
        <v>180</v>
      </c>
      <c r="V754" s="415"/>
      <c r="W754" s="331"/>
      <c r="X754" s="320" t="str">
        <f>IF(W754=[22]Listas!$B$46,[22]Listas!$C$46,IF(W754=[22]Listas!$B$47,[22]Listas!$C$47,IF(W754=[22]Listas!$B$48,[22]Listas!$C$48,"")))</f>
        <v/>
      </c>
      <c r="Y754" s="321" t="str">
        <f>IF(OR(W754=[22]Listas!$F$53,W754=[22]Listas!$F$54),[22]Listas!$G$53,IF(W754=[22]Listas!$F$55,[22]Listas!$G$55,""))</f>
        <v/>
      </c>
      <c r="Z754" s="319"/>
      <c r="AA754" s="182" t="str">
        <f>+IF(Z754=[22]Listas!$E$46,[22]Listas!$F$46,IF(Z754=[22]Listas!$E$47,[22]Listas!$F$47,""))</f>
        <v/>
      </c>
      <c r="AB754" s="183" t="str">
        <f>IFERROR(X754+AA754,"")</f>
        <v/>
      </c>
      <c r="AC754" s="325"/>
      <c r="AD754" s="326"/>
      <c r="AE754" s="327"/>
      <c r="AF754" s="305" t="str">
        <f t="shared" si="109"/>
        <v>Baja</v>
      </c>
      <c r="AG754" s="145">
        <f>IF(Y754=[22]Listas!$G$53,AG753-(AG753*AB754),AG753)</f>
        <v>0.24</v>
      </c>
      <c r="AH754" s="562"/>
      <c r="AI754" s="305" t="str">
        <f t="shared" si="110"/>
        <v>Moderado</v>
      </c>
      <c r="AJ754" s="145">
        <f>IF(Y754=[22]Listas!$G$55,AJ753-(AJ753*AB754),AJ753)</f>
        <v>0.6</v>
      </c>
      <c r="AK754" s="562"/>
      <c r="AL754" s="565"/>
      <c r="AM754" s="565"/>
      <c r="AN754" s="565"/>
      <c r="AO754" s="568"/>
      <c r="AP754" s="571"/>
      <c r="AQ754" s="343"/>
      <c r="AR754" s="199"/>
    </row>
    <row r="755" spans="2:44" ht="15" hidden="1" customHeight="1" x14ac:dyDescent="0.35">
      <c r="B755" s="537"/>
      <c r="C755" s="560"/>
      <c r="D755" s="610" t="s">
        <v>299</v>
      </c>
      <c r="E755" s="577"/>
      <c r="F755" s="646"/>
      <c r="G755" s="663"/>
      <c r="H755" s="666"/>
      <c r="I755" s="589"/>
      <c r="J755" s="589"/>
      <c r="K755" s="592"/>
      <c r="L755" s="589"/>
      <c r="M755" s="595"/>
      <c r="N755" s="598"/>
      <c r="O755" s="601"/>
      <c r="P755" s="595"/>
      <c r="Q755" s="604"/>
      <c r="R755" s="601"/>
      <c r="S755" s="287"/>
      <c r="T755" s="604"/>
      <c r="U755" s="142" t="s">
        <v>190</v>
      </c>
      <c r="V755" s="415"/>
      <c r="W755" s="331"/>
      <c r="X755" s="320" t="str">
        <f>IF(W755=[22]Listas!$B$46,[22]Listas!$C$46,IF(W755=[22]Listas!$B$47,[22]Listas!$C$47,IF(W755=[22]Listas!$B$48,[22]Listas!$C$48,"")))</f>
        <v/>
      </c>
      <c r="Y755" s="321" t="str">
        <f>IF(OR(W755=[22]Listas!$F$53,W755=[22]Listas!$F$54),[22]Listas!$G$53,IF(W755=[22]Listas!$F$55,[22]Listas!$G$55,""))</f>
        <v/>
      </c>
      <c r="Z755" s="319"/>
      <c r="AA755" s="182" t="str">
        <f>+IF(Z755=[22]Listas!$E$46,[22]Listas!$F$46,IF(Z755=[22]Listas!$E$47,[22]Listas!$F$47,""))</f>
        <v/>
      </c>
      <c r="AB755" s="183" t="str">
        <f t="shared" ref="AB755:AB761" si="114">IFERROR(X755+AA755,"")</f>
        <v/>
      </c>
      <c r="AC755" s="328"/>
      <c r="AD755" s="329"/>
      <c r="AE755" s="330"/>
      <c r="AF755" s="305" t="str">
        <f t="shared" si="109"/>
        <v>Baja</v>
      </c>
      <c r="AG755" s="145">
        <f>IF(Y755=[22]Listas!$G$53,AG754-(AG754*AB755),AG754)</f>
        <v>0.24</v>
      </c>
      <c r="AH755" s="562"/>
      <c r="AI755" s="305" t="str">
        <f t="shared" si="110"/>
        <v>Moderado</v>
      </c>
      <c r="AJ755" s="145">
        <f>IF(Y755=[22]Listas!$G$55,AJ754-(AJ754*AB755),AJ754)</f>
        <v>0.6</v>
      </c>
      <c r="AK755" s="562"/>
      <c r="AL755" s="565"/>
      <c r="AM755" s="565"/>
      <c r="AN755" s="565"/>
      <c r="AO755" s="568"/>
      <c r="AP755" s="571"/>
      <c r="AQ755" s="343"/>
      <c r="AR755" s="191"/>
    </row>
    <row r="756" spans="2:44" ht="15" hidden="1" customHeight="1" thickTop="1" x14ac:dyDescent="0.35">
      <c r="B756" s="537"/>
      <c r="C756" s="560"/>
      <c r="D756" s="610" t="s">
        <v>299</v>
      </c>
      <c r="E756" s="577"/>
      <c r="F756" s="646"/>
      <c r="G756" s="663"/>
      <c r="H756" s="666"/>
      <c r="I756" s="589"/>
      <c r="J756" s="589"/>
      <c r="K756" s="592"/>
      <c r="L756" s="589"/>
      <c r="M756" s="595"/>
      <c r="N756" s="598"/>
      <c r="O756" s="601"/>
      <c r="P756" s="595"/>
      <c r="Q756" s="604"/>
      <c r="R756" s="601"/>
      <c r="S756" s="287"/>
      <c r="T756" s="604"/>
      <c r="U756" s="142" t="s">
        <v>198</v>
      </c>
      <c r="V756" s="415"/>
      <c r="W756" s="331"/>
      <c r="X756" s="320" t="str">
        <f>IF(W756=[22]Listas!$B$46,[22]Listas!$C$46,IF(W756=[22]Listas!$B$47,[22]Listas!$C$47,IF(W756=[22]Listas!$B$48,[22]Listas!$C$48,"")))</f>
        <v/>
      </c>
      <c r="Y756" s="321" t="str">
        <f>IF(OR(W756=[22]Listas!$F$53,W756=[22]Listas!$F$54),[22]Listas!$G$53,IF(W756=[22]Listas!$F$55,[22]Listas!$G$55,""))</f>
        <v/>
      </c>
      <c r="Z756" s="319"/>
      <c r="AA756" s="182" t="str">
        <f>+IF(Z756=[22]Listas!$E$46,[22]Listas!$F$46,IF(Z756=[22]Listas!$E$47,[22]Listas!$F$47,""))</f>
        <v/>
      </c>
      <c r="AB756" s="183" t="str">
        <f t="shared" si="114"/>
        <v/>
      </c>
      <c r="AC756" s="319"/>
      <c r="AD756" s="322"/>
      <c r="AE756" s="323"/>
      <c r="AF756" s="305" t="str">
        <f t="shared" si="109"/>
        <v>Baja</v>
      </c>
      <c r="AG756" s="145">
        <f>IF(Y756=[22]Listas!$G$53,AG755-(AG755*AB756),AG755)</f>
        <v>0.24</v>
      </c>
      <c r="AH756" s="562"/>
      <c r="AI756" s="305" t="str">
        <f t="shared" si="110"/>
        <v>Moderado</v>
      </c>
      <c r="AJ756" s="145">
        <f>IF(Y756=[22]Listas!$G$55,AJ755-(AJ755*AB756),AJ755)</f>
        <v>0.6</v>
      </c>
      <c r="AK756" s="562"/>
      <c r="AL756" s="565"/>
      <c r="AM756" s="565"/>
      <c r="AN756" s="565"/>
      <c r="AO756" s="568"/>
      <c r="AP756" s="571"/>
      <c r="AQ756" s="344"/>
      <c r="AR756" s="191"/>
    </row>
    <row r="757" spans="2:44" ht="15.75" hidden="1" customHeight="1" thickTop="1" x14ac:dyDescent="0.35">
      <c r="B757" s="537"/>
      <c r="C757" s="560"/>
      <c r="D757" s="610" t="s">
        <v>299</v>
      </c>
      <c r="E757" s="577"/>
      <c r="F757" s="646"/>
      <c r="G757" s="663"/>
      <c r="H757" s="666"/>
      <c r="I757" s="589"/>
      <c r="J757" s="589"/>
      <c r="K757" s="592"/>
      <c r="L757" s="589"/>
      <c r="M757" s="595"/>
      <c r="N757" s="598"/>
      <c r="O757" s="601"/>
      <c r="P757" s="595"/>
      <c r="Q757" s="604"/>
      <c r="R757" s="601"/>
      <c r="S757" s="288"/>
      <c r="T757" s="604"/>
      <c r="U757" s="142" t="s">
        <v>208</v>
      </c>
      <c r="V757" s="418"/>
      <c r="W757" s="331"/>
      <c r="X757" s="320" t="str">
        <f>IF(W757=[22]Listas!$B$46,[22]Listas!$C$46,IF(W757=[22]Listas!$B$47,[22]Listas!$C$47,IF(W757=[22]Listas!$B$48,[22]Listas!$C$48,"")))</f>
        <v/>
      </c>
      <c r="Y757" s="321" t="str">
        <f>IF(OR(W757=[22]Listas!$F$53,W757=[22]Listas!$F$54),[22]Listas!$G$53,IF(W757=[22]Listas!$F$55,[22]Listas!$G$55,""))</f>
        <v/>
      </c>
      <c r="Z757" s="319"/>
      <c r="AA757" s="182" t="str">
        <f>+IF(Z757=[22]Listas!$E$46,[22]Listas!$F$46,IF(Z757=[22]Listas!$E$47,[22]Listas!$F$47,""))</f>
        <v/>
      </c>
      <c r="AB757" s="183" t="str">
        <f t="shared" si="114"/>
        <v/>
      </c>
      <c r="AC757" s="319"/>
      <c r="AD757" s="322"/>
      <c r="AE757" s="323"/>
      <c r="AF757" s="305" t="str">
        <f t="shared" si="109"/>
        <v>Baja</v>
      </c>
      <c r="AG757" s="145">
        <f>IF(Y757=[22]Listas!$G$53,AG756-(AG756*AB757),AG756)</f>
        <v>0.24</v>
      </c>
      <c r="AH757" s="562"/>
      <c r="AI757" s="305" t="str">
        <f t="shared" si="110"/>
        <v>Moderado</v>
      </c>
      <c r="AJ757" s="145">
        <f>IF(Y757=[22]Listas!$G$55,AJ756-(AJ756*AB757),AJ756)</f>
        <v>0.6</v>
      </c>
      <c r="AK757" s="562"/>
      <c r="AL757" s="565"/>
      <c r="AM757" s="565"/>
      <c r="AN757" s="565"/>
      <c r="AO757" s="568"/>
      <c r="AP757" s="571"/>
      <c r="AQ757" s="343"/>
      <c r="AR757" s="191"/>
    </row>
    <row r="758" spans="2:44" ht="15" hidden="1" customHeight="1" thickTop="1" x14ac:dyDescent="0.35">
      <c r="B758" s="537"/>
      <c r="C758" s="560"/>
      <c r="D758" s="610" t="s">
        <v>299</v>
      </c>
      <c r="E758" s="577"/>
      <c r="F758" s="646"/>
      <c r="G758" s="663"/>
      <c r="H758" s="666"/>
      <c r="I758" s="589"/>
      <c r="J758" s="589"/>
      <c r="K758" s="592"/>
      <c r="L758" s="589"/>
      <c r="M758" s="595"/>
      <c r="N758" s="598"/>
      <c r="O758" s="601"/>
      <c r="P758" s="595"/>
      <c r="Q758" s="604"/>
      <c r="R758" s="601"/>
      <c r="S758" s="289"/>
      <c r="T758" s="604"/>
      <c r="U758" s="142" t="s">
        <v>215</v>
      </c>
      <c r="V758" s="415"/>
      <c r="W758" s="319"/>
      <c r="X758" s="320" t="str">
        <f>IF(W758=[22]Listas!$B$46,[22]Listas!$C$46,IF(W758=[22]Listas!$B$47,[22]Listas!$C$47,IF(W758=[22]Listas!$B$48,[22]Listas!$C$48,"")))</f>
        <v/>
      </c>
      <c r="Y758" s="321" t="str">
        <f>IF(OR(W758=[22]Listas!$F$53,W758=[22]Listas!$F$54),[22]Listas!$G$53,IF(W758=[22]Listas!$F$55,[22]Listas!$G$55,""))</f>
        <v/>
      </c>
      <c r="Z758" s="319"/>
      <c r="AA758" s="182" t="str">
        <f>+IF(Z758=[22]Listas!$E$46,[22]Listas!$F$46,IF(Z758=[22]Listas!$E$47,[22]Listas!$F$47,""))</f>
        <v/>
      </c>
      <c r="AB758" s="183" t="str">
        <f t="shared" si="114"/>
        <v/>
      </c>
      <c r="AC758" s="319"/>
      <c r="AD758" s="322"/>
      <c r="AE758" s="323"/>
      <c r="AF758" s="305" t="str">
        <f t="shared" si="109"/>
        <v>Baja</v>
      </c>
      <c r="AG758" s="145">
        <f>IF(Y758=[22]Listas!$G$53,AG757-(AG757*AB758),AG757)</f>
        <v>0.24</v>
      </c>
      <c r="AH758" s="562"/>
      <c r="AI758" s="305" t="str">
        <f t="shared" si="110"/>
        <v>Moderado</v>
      </c>
      <c r="AJ758" s="145">
        <f>IF(Y758=[22]Listas!$G$55,AJ757-(AJ757*AB758),AJ757)</f>
        <v>0.6</v>
      </c>
      <c r="AK758" s="562"/>
      <c r="AL758" s="565"/>
      <c r="AM758" s="565"/>
      <c r="AN758" s="565"/>
      <c r="AO758" s="568"/>
      <c r="AP758" s="571"/>
      <c r="AQ758" s="343"/>
      <c r="AR758" s="191"/>
    </row>
    <row r="759" spans="2:44" ht="15" hidden="1" customHeight="1" thickTop="1" x14ac:dyDescent="0.35">
      <c r="B759" s="537"/>
      <c r="C759" s="560"/>
      <c r="D759" s="610" t="s">
        <v>299</v>
      </c>
      <c r="E759" s="577"/>
      <c r="F759" s="646"/>
      <c r="G759" s="663"/>
      <c r="H759" s="666"/>
      <c r="I759" s="589"/>
      <c r="J759" s="589"/>
      <c r="K759" s="592"/>
      <c r="L759" s="589"/>
      <c r="M759" s="595"/>
      <c r="N759" s="598"/>
      <c r="O759" s="601"/>
      <c r="P759" s="595"/>
      <c r="Q759" s="604"/>
      <c r="R759" s="601"/>
      <c r="S759" s="289"/>
      <c r="T759" s="604"/>
      <c r="U759" s="142" t="s">
        <v>220</v>
      </c>
      <c r="V759" s="418"/>
      <c r="W759" s="331"/>
      <c r="X759" s="320" t="str">
        <f>IF(W759=[22]Listas!$B$46,[22]Listas!$C$46,IF(W759=[22]Listas!$B$47,[22]Listas!$C$47,IF(W759=[22]Listas!$B$48,[22]Listas!$C$48,"")))</f>
        <v/>
      </c>
      <c r="Y759" s="321" t="str">
        <f>IF(OR(W759=[22]Listas!$F$53,W759=[22]Listas!$F$54),[22]Listas!$G$53,IF(W759=[22]Listas!$F$55,[22]Listas!$G$55,""))</f>
        <v/>
      </c>
      <c r="Z759" s="319"/>
      <c r="AA759" s="182" t="str">
        <f>+IF(Z759=[22]Listas!$E$46,[22]Listas!$F$46,IF(Z759=[22]Listas!$E$47,[22]Listas!$F$47,""))</f>
        <v/>
      </c>
      <c r="AB759" s="183" t="str">
        <f t="shared" si="114"/>
        <v/>
      </c>
      <c r="AC759" s="319"/>
      <c r="AD759" s="322"/>
      <c r="AE759" s="323"/>
      <c r="AF759" s="305" t="str">
        <f t="shared" si="109"/>
        <v>Baja</v>
      </c>
      <c r="AG759" s="145">
        <f>IF(Y759=[22]Listas!$G$53,AG758-(AG758*AB759),AG758)</f>
        <v>0.24</v>
      </c>
      <c r="AH759" s="562"/>
      <c r="AI759" s="305" t="str">
        <f t="shared" si="110"/>
        <v>Moderado</v>
      </c>
      <c r="AJ759" s="145">
        <f>IF(Y759=[22]Listas!$G$55,AJ758-(AJ758*AB759),AJ758)</f>
        <v>0.6</v>
      </c>
      <c r="AK759" s="562"/>
      <c r="AL759" s="565"/>
      <c r="AM759" s="565"/>
      <c r="AN759" s="565"/>
      <c r="AO759" s="568"/>
      <c r="AP759" s="571"/>
      <c r="AQ759" s="344"/>
      <c r="AR759" s="191"/>
    </row>
    <row r="760" spans="2:44" ht="15" hidden="1" customHeight="1" thickTop="1" x14ac:dyDescent="0.35">
      <c r="B760" s="537"/>
      <c r="C760" s="560"/>
      <c r="D760" s="610" t="s">
        <v>299</v>
      </c>
      <c r="E760" s="577"/>
      <c r="F760" s="646"/>
      <c r="G760" s="663"/>
      <c r="H760" s="666"/>
      <c r="I760" s="589"/>
      <c r="J760" s="589"/>
      <c r="K760" s="592"/>
      <c r="L760" s="589"/>
      <c r="M760" s="595"/>
      <c r="N760" s="598"/>
      <c r="O760" s="601"/>
      <c r="P760" s="595"/>
      <c r="Q760" s="604"/>
      <c r="R760" s="601"/>
      <c r="S760" s="289"/>
      <c r="T760" s="604"/>
      <c r="U760" s="142" t="s">
        <v>223</v>
      </c>
      <c r="V760" s="418"/>
      <c r="W760" s="331"/>
      <c r="X760" s="320" t="str">
        <f>IF(W760=[22]Listas!$B$46,[22]Listas!$C$46,IF(W760=[22]Listas!$B$47,[22]Listas!$C$47,IF(W760=[22]Listas!$B$48,[22]Listas!$C$48,"")))</f>
        <v/>
      </c>
      <c r="Y760" s="321" t="str">
        <f>IF(OR(W760=[22]Listas!$F$53,W760=[22]Listas!$F$54),[22]Listas!$G$53,IF(W760=[22]Listas!$F$55,[22]Listas!$G$55,""))</f>
        <v/>
      </c>
      <c r="Z760" s="319"/>
      <c r="AA760" s="182" t="str">
        <f>+IF(Z760=[22]Listas!$E$46,[22]Listas!$F$46,IF(Z760=[22]Listas!$E$47,[22]Listas!$F$47,""))</f>
        <v/>
      </c>
      <c r="AB760" s="183" t="str">
        <f t="shared" si="114"/>
        <v/>
      </c>
      <c r="AC760" s="319"/>
      <c r="AD760" s="322"/>
      <c r="AE760" s="323"/>
      <c r="AF760" s="305" t="str">
        <f t="shared" si="109"/>
        <v>Baja</v>
      </c>
      <c r="AG760" s="145">
        <f>IF(Y760=[22]Listas!$G$53,AG759-(AG759*AB760),AG759)</f>
        <v>0.24</v>
      </c>
      <c r="AH760" s="562"/>
      <c r="AI760" s="305" t="str">
        <f t="shared" si="110"/>
        <v>Moderado</v>
      </c>
      <c r="AJ760" s="145">
        <f>IF(Y760=[22]Listas!$G$55,AJ759-(AJ759*AB760),AJ759)</f>
        <v>0.6</v>
      </c>
      <c r="AK760" s="562"/>
      <c r="AL760" s="565"/>
      <c r="AM760" s="565"/>
      <c r="AN760" s="565"/>
      <c r="AO760" s="568"/>
      <c r="AP760" s="571"/>
      <c r="AQ760" s="343"/>
      <c r="AR760" s="191"/>
    </row>
    <row r="761" spans="2:44" ht="15.75" hidden="1" customHeight="1" thickTop="1" x14ac:dyDescent="0.35">
      <c r="B761" s="537"/>
      <c r="C761" s="560"/>
      <c r="D761" s="611" t="s">
        <v>299</v>
      </c>
      <c r="E761" s="578"/>
      <c r="F761" s="647"/>
      <c r="G761" s="664"/>
      <c r="H761" s="667"/>
      <c r="I761" s="590"/>
      <c r="J761" s="590"/>
      <c r="K761" s="593"/>
      <c r="L761" s="590"/>
      <c r="M761" s="596"/>
      <c r="N761" s="599"/>
      <c r="O761" s="602"/>
      <c r="P761" s="596"/>
      <c r="Q761" s="605"/>
      <c r="R761" s="602"/>
      <c r="S761" s="293"/>
      <c r="T761" s="605"/>
      <c r="U761" s="202" t="s">
        <v>224</v>
      </c>
      <c r="V761" s="416"/>
      <c r="W761" s="335"/>
      <c r="X761" s="336" t="str">
        <f>IF(W761=[22]Listas!$B$46,[22]Listas!$C$46,IF(W761=[22]Listas!$B$47,[22]Listas!$C$47,IF(W761=[22]Listas!$B$48,[22]Listas!$C$48,"")))</f>
        <v/>
      </c>
      <c r="Y761" s="337" t="str">
        <f>IF(OR(W761=[22]Listas!$F$53,W761=[22]Listas!$F$54),[22]Listas!$G$53,IF(W761=[22]Listas!$F$55,[22]Listas!$G$55,""))</f>
        <v/>
      </c>
      <c r="Z761" s="335"/>
      <c r="AA761" s="186" t="str">
        <f>+IF(Z761=[22]Listas!$E$46,[22]Listas!$F$46,IF(Z761=[22]Listas!$E$47,[22]Listas!$F$47,""))</f>
        <v/>
      </c>
      <c r="AB761" s="187" t="str">
        <f t="shared" si="114"/>
        <v/>
      </c>
      <c r="AC761" s="338"/>
      <c r="AD761" s="339"/>
      <c r="AE761" s="340"/>
      <c r="AF761" s="311" t="str">
        <f t="shared" si="109"/>
        <v>Baja</v>
      </c>
      <c r="AG761" s="179">
        <f>IF(Y761=[22]Listas!$G$53,AG760-(AG760*AB761),AG760)</f>
        <v>0.24</v>
      </c>
      <c r="AH761" s="563"/>
      <c r="AI761" s="311" t="str">
        <f t="shared" si="110"/>
        <v>Moderado</v>
      </c>
      <c r="AJ761" s="179">
        <f>IF(Y761=[22]Listas!$G$55,AJ760-(AJ760*AB761),AJ760)</f>
        <v>0.6</v>
      </c>
      <c r="AK761" s="563"/>
      <c r="AL761" s="566"/>
      <c r="AM761" s="566"/>
      <c r="AN761" s="566"/>
      <c r="AO761" s="569"/>
      <c r="AP761" s="572"/>
      <c r="AQ761" s="359"/>
      <c r="AR761" s="192"/>
    </row>
    <row r="762" spans="2:44" ht="197" thickTop="1" thickBot="1" x14ac:dyDescent="0.4">
      <c r="B762" s="537"/>
      <c r="C762" s="560"/>
      <c r="D762" s="609" t="s">
        <v>884</v>
      </c>
      <c r="E762" s="576" t="s">
        <v>5</v>
      </c>
      <c r="F762" s="677" t="s">
        <v>885</v>
      </c>
      <c r="G762" s="685" t="s">
        <v>886</v>
      </c>
      <c r="H762" s="688" t="s">
        <v>887</v>
      </c>
      <c r="I762" s="588" t="s">
        <v>20</v>
      </c>
      <c r="J762" s="588" t="s">
        <v>22</v>
      </c>
      <c r="K762" s="591" t="s">
        <v>888</v>
      </c>
      <c r="L762" s="588" t="s">
        <v>168</v>
      </c>
      <c r="M762" s="594" t="s">
        <v>169</v>
      </c>
      <c r="N762" s="597" t="str">
        <f>+IF(M762="","",IF(M762=$BO$15,$BN$15,IF(M762=$BO$16,$BN$16,IF(M762=$BO$17,$BN$17,IF(M762=$BO$18,$BN$18,IF(M762=$BO$19,$BN$19))))))</f>
        <v>Alta</v>
      </c>
      <c r="O762" s="600">
        <f>+IF(M762="","",IF(M762=$BO$15,$BR$15,IF(M762=$BO$16,$BR$16,IF(M762=$BO$17,$BR$17,IF(M762=$BO$18,$BR$18,IF(M762=$BO$19,$BR$19))))))</f>
        <v>0.8</v>
      </c>
      <c r="P762" s="594" t="s">
        <v>212</v>
      </c>
      <c r="Q762" s="603" t="str">
        <f>+IF(P762="","",IF(P762='[22]Mapa de Calor inherente'!$AF$6,'[22]Mapa de Calor inherente'!$AD$6,IF(P762='[22]Mapa de Calor inherente'!$AF$7,'[22]Mapa de Calor inherente'!$AD$7,IF(P762='[22]Mapa de Calor inherente'!$AF$8,'[22]Mapa de Calor inherente'!$AD$8,IF(P762='[22]Mapa de Calor inherente'!$AF$9,'[22]Mapa de Calor inherente'!$AD$9,IF(P762='[22]Mapa de Calor inherente'!$AF$10,'[22]Mapa de Calor inherente'!$AD$10,IF(P762='[22]Mapa de Calor inherente'!$AG$6,'[22]Mapa de Calor inherente'!$AD$6,IF(P762='[22]Mapa de Calor inherente'!$AG$7,'[22]Mapa de Calor inherente'!$AD$7,IF(P762='[22]Mapa de Calor inherente'!$AG$8,'[22]Mapa de Calor inherente'!$AD$8,IF(P762='[22]Mapa de Calor inherente'!$AG$9,'[22]Mapa de Calor inherente'!$AD$9,IF(P762='[22]Mapa de Calor inherente'!$AG$10,'[22]Mapa de Calor inherente'!$AD$10,IF(P762='[22]Mapa de Calor inherente'!$AD$8,'[22]Mapa de Calor inherente'!$AD$8,IF(P762='[22]Mapa de Calor inherente'!$AD$9,'[22]Mapa de Calor inherente'!$AD$9,IF(P762='[22]Mapa de Calor inherente'!$AD$10,'[22]Mapa de Calor inherente'!$AD$10))))))))))))))</f>
        <v>Moderado</v>
      </c>
      <c r="R762" s="600">
        <f>+IF(P762="","",IF(P762='[22]Mapa de Calor inherente'!$AF$6,'[22]Mapa de Calor inherente'!$AE$6,IF(P762='[22]Mapa de Calor inherente'!$AF$7,'[22]Mapa de Calor inherente'!$AE$7,IF(P762='[22]Mapa de Calor inherente'!$AF$8,'[22]Mapa de Calor inherente'!$AE$8,IF(P762='[22]Mapa de Calor inherente'!$AF$9,'[22]Mapa de Calor inherente'!$AE$9,IF(P762='[22]Mapa de Calor inherente'!$AF$10,'[22]Mapa de Calor inherente'!$AE$10,IF(P762='[22]Mapa de Calor inherente'!$AG$6,'[22]Mapa de Calor inherente'!$AE$6,IF(P762='[22]Mapa de Calor inherente'!$AG$7,'[22]Mapa de Calor inherente'!$AE$7,IF(P762='[22]Mapa de Calor inherente'!$AG$8,'[22]Mapa de Calor inherente'!$AE$8,IF(P762='[22]Mapa de Calor inherente'!$AG$9,'[22]Mapa de Calor inherente'!$AE$9,IF(P762='[22]Mapa de Calor inherente'!$AG$10,'[22]Mapa de Calor inherente'!$AE$10,IF(P762='[22]Mapa de Calor inherente'!$AD$8,'[22]Mapa de Calor inherente'!$AE$8,IF(P762='[22]Mapa de Calor inherente'!$AD$9,'[22]Mapa de Calor inherente'!$AE$9,IF(P762='[22]Mapa de Calor inherente'!$AD$10,'[22]Mapa de Calor inherente'!$AE$10))))))))))))))</f>
        <v>0.6</v>
      </c>
      <c r="S762" s="292" t="e">
        <f>IF(N762="","",IF(R762="","",(N762*R762)))</f>
        <v>#VALUE!</v>
      </c>
      <c r="T762" s="603" t="str">
        <f>+IF(N762=$BB$17,IF(Q762=$BC$16,$BC$17,IF(Q762=$BD$16,$BD$17,IF(Q762=$BE$16,$BE$17,IF(Q762=$BF$16,$BF$17,IF(Q762=$BG$16,$BG$17))))),IF(N762=$BB$18,IF(Q762=$BC$16,$BC$18,IF(Q762=$BD$16,$BD$18,IF(Q762=$BE$16,$BE$18,IF(Q762=$BF$16,$BF$18,IF(Q762=$BG$16,$BG$18))))),IF(N762=$BB$19,IF(Q762=$BC$16,$BC$19,IF(Q762=$BD$16,$BD$19,IF(Q762=$BE$16,$BE$19,IF(Q762=$BF$16,$BF$19,IF(Q762=$BG$16,$BG$19))))),IF(N762=$BB$20,IF(Q762=$BC$16,$BC$20,IF(Q762=$BD$16,$BD$20,IF(Q762=$BE$16,$BE$20,IF(Q762=$BF$16,$BF$20,IF(Q762=$BG$16,$BG$20))))),IF(N762=$BB$21,IF(Q762=$BC$16,$BC$21,IF(Q762=$BD$16,$BD$21,IF(Q762=$BE$16,$BE$21,IF(Q762=$BF$16,$BF$21,IF(Q762=$BG$16,$BG$21))))),"")))))</f>
        <v>Alto</v>
      </c>
      <c r="U762" s="139" t="s">
        <v>171</v>
      </c>
      <c r="V762" s="436" t="s">
        <v>889</v>
      </c>
      <c r="W762" s="313" t="s">
        <v>44</v>
      </c>
      <c r="X762" s="314">
        <f>IF(W762=[22]Listas!$B$46,[22]Listas!$C$46,IF(W762=[22]Listas!$B$47,[22]Listas!$C$47,IF(W762=[22]Listas!$B$48,[22]Listas!$C$48,"")))</f>
        <v>0.1</v>
      </c>
      <c r="Y762" s="315" t="str">
        <f>IF(OR(W762=[22]Listas!$F$53,W762=[22]Listas!$F$54),[22]Listas!$G$53,IF(W762=[22]Listas!$F$55,[22]Listas!$G$55,""))</f>
        <v>Impacto</v>
      </c>
      <c r="Z762" s="313" t="s">
        <v>43</v>
      </c>
      <c r="AA762" s="314">
        <f>+IF(Z762=[22]Listas!$E$46,[22]Listas!$F$46,IF(Z762=[22]Listas!$E$47,[22]Listas!$F$47,""))</f>
        <v>0.15</v>
      </c>
      <c r="AB762" s="181">
        <f>IFERROR(X762+AA762,"")</f>
        <v>0.25</v>
      </c>
      <c r="AC762" s="313" t="s">
        <v>57</v>
      </c>
      <c r="AD762" s="316" t="s">
        <v>58</v>
      </c>
      <c r="AE762" s="317" t="s">
        <v>59</v>
      </c>
      <c r="AF762" s="299" t="str">
        <f t="shared" si="109"/>
        <v>Alta</v>
      </c>
      <c r="AG762" s="141">
        <f>IF(Y762=[22]Listas!$G$53,O762-(O762*AB762),O762)</f>
        <v>0.8</v>
      </c>
      <c r="AH762" s="561">
        <f>+IF(AG771="","",AG771)</f>
        <v>0.14112</v>
      </c>
      <c r="AI762" s="299" t="str">
        <f>IF(AJ762="","",IF(AJ762&lt;=20%,"Leve",IF(AJ762&lt;=40%,"Menor",IF(AJ762&lt;=60%,"Moderado",IF(AJ762&lt;=80%,"Mayor","Catastrófico")))))</f>
        <v>Moderado</v>
      </c>
      <c r="AJ762" s="141">
        <f>IF(Y762=[22]Listas!$G$55,R762-(R762*AB762),R762)</f>
        <v>0.44999999999999996</v>
      </c>
      <c r="AK762" s="561">
        <f>+IF(AJ771="","",AJ771)</f>
        <v>0.44999999999999996</v>
      </c>
      <c r="AL762" s="564" t="str">
        <f>+IF(AH762=0,"",IF(AH762&lt;=$BA$21,$BB$21,IF(AH762&lt;=$BA$20,$BB$20,IF(AH762&lt;=$BA$19,$BB$19,IF(AH762&lt;=$BA$18,$BB$18,IF(AH762&lt;=$BA$17,$BB$17,""))))))</f>
        <v>Muy Baja</v>
      </c>
      <c r="AM762" s="564" t="str">
        <f>+IF(AK762=0,"",IF(AK762&lt;=$BC$15,$BC$16,IF(AK762&lt;=$BD$15,$BD$16,IF(AK762&lt;=$BE$15,$BE$16,IF(AK762&lt;=$BF$15,$BF$16,IF(AK762&lt;=$BG$15,$BG$16,""))))))</f>
        <v>Moderado</v>
      </c>
      <c r="AN762" s="564" t="str">
        <f>IF(AL762=$BB$17,IF(AM762=$BC$16,$BC$17,IF(AM762=$BD$16,$BD$17,IF(AM762=$BE$16,$BE$17,IF(AM762=$BF$16,$BF$17,IF(AM762=$BG$16,$BG$17))))),IF(AL762=$BB$18,IF(AM762=$BC$16,$BC$18,IF(AM762=$BD$16,$BD$18,IF(AM762=$BE$16,$BE$18,IF(AM762=$BF$16,$BF$18,IF(AM762=$BG$16,$BG$18))))),IF(AL762=$BB$19,IF(AM762=$BC$16,$BC$19,IF(AM762=$BD$16,$BD$19,IF(AM762=$BE$16,$BE$19,IF(AM762=$BF$16,$BF$19,IF(AM762=$BG$16,$BG$19))))),IF(AL762=$BB$20,IF(AM762=$BC$16,$BC$20,IF(AM762=$BD$16,$BD$20,IF(AM762=$BE$16,$BE$20,IF(AM762=$BF$16,$BF$20,IF(AM762=$BG$16,$BG$20))))),IF(AL762=$BB$21,IF(AM762=$BC$16,$BC$21,IF(AM762=$BD$16,$BD$21,IF(AM762=$BE$16,$BE$21,IF(AM762=$BF$16,$BF$21,IF(AM762=$BG$16,$BG$21))))),"")))))</f>
        <v>Moderado</v>
      </c>
      <c r="AO762" s="567" t="str">
        <f>IF(AP762="","",IF(AP762=[22]Listas!$F$61,[22]Listas!$G$61,IF(AP762=[22]Listas!$F$63,[22]Listas!$G$63,IF(AP762=[22]Listas!$F$64,[22]Listas!$G$64))))</f>
        <v>Requiere Plan de Acción</v>
      </c>
      <c r="AP762" s="570" t="str">
        <f>IF(AN762="","",IF(OR(AN762=[22]Listas!$E$61,AN762=[22]Listas!$E$62),[22]Listas!$F$61,IF(AN762=[22]Listas!$E$63,[22]Listas!$F$63,IF(AN762=[22]Listas!$E$64,[22]Listas!$F$64))))</f>
        <v>Aceptar o reducir el riesgo</v>
      </c>
      <c r="AQ762" s="342" t="s">
        <v>90</v>
      </c>
      <c r="AR762" s="119" t="s">
        <v>890</v>
      </c>
    </row>
    <row r="763" spans="2:44" ht="163.5" customHeight="1" thickTop="1" thickBot="1" x14ac:dyDescent="0.4">
      <c r="B763" s="537"/>
      <c r="C763" s="560"/>
      <c r="D763" s="610" t="s">
        <v>447</v>
      </c>
      <c r="E763" s="577"/>
      <c r="F763" s="678"/>
      <c r="G763" s="686"/>
      <c r="H763" s="689"/>
      <c r="I763" s="589"/>
      <c r="J763" s="589"/>
      <c r="K763" s="592"/>
      <c r="L763" s="589"/>
      <c r="M763" s="595"/>
      <c r="N763" s="598"/>
      <c r="O763" s="601"/>
      <c r="P763" s="595"/>
      <c r="Q763" s="604"/>
      <c r="R763" s="601"/>
      <c r="S763" s="286"/>
      <c r="T763" s="604"/>
      <c r="U763" s="142" t="s">
        <v>174</v>
      </c>
      <c r="V763" s="415" t="s">
        <v>891</v>
      </c>
      <c r="W763" s="319" t="s">
        <v>42</v>
      </c>
      <c r="X763" s="320">
        <f>IF(W763=[22]Listas!$B$46,[22]Listas!$C$46,IF(W763=[22]Listas!$B$47,[22]Listas!$C$47,IF(W763=[22]Listas!$B$48,[22]Listas!$C$48,"")))</f>
        <v>0.15</v>
      </c>
      <c r="Y763" s="321" t="str">
        <f>IF(OR(W763=[22]Listas!$F$53,W763=[22]Listas!$F$54),[22]Listas!$G$53,IF(W763=[22]Listas!$F$55,[22]Listas!$G$55,""))</f>
        <v>Probabilidad</v>
      </c>
      <c r="Z763" s="319" t="s">
        <v>43</v>
      </c>
      <c r="AA763" s="182">
        <f>+IF(Z763=[22]Listas!$E$46,[22]Listas!$F$46,IF(Z763=[22]Listas!$E$47,[22]Listas!$F$47,""))</f>
        <v>0.15</v>
      </c>
      <c r="AB763" s="183">
        <f>IFERROR(X763+AA763,"")</f>
        <v>0.3</v>
      </c>
      <c r="AC763" s="319" t="s">
        <v>57</v>
      </c>
      <c r="AD763" s="322" t="s">
        <v>58</v>
      </c>
      <c r="AE763" s="323" t="s">
        <v>59</v>
      </c>
      <c r="AF763" s="305" t="str">
        <f t="shared" si="109"/>
        <v>Media</v>
      </c>
      <c r="AG763" s="145">
        <f>IF(Y763=[22]Listas!$G$53,AG762-(AG762*AB763),AG762)</f>
        <v>0.56000000000000005</v>
      </c>
      <c r="AH763" s="562"/>
      <c r="AI763" s="305" t="str">
        <f t="shared" si="110"/>
        <v>Moderado</v>
      </c>
      <c r="AJ763" s="145">
        <f>IF(Y763=[22]Listas!$G$55,AJ762-(AJ762*AB763),AJ762)</f>
        <v>0.44999999999999996</v>
      </c>
      <c r="AK763" s="562"/>
      <c r="AL763" s="565"/>
      <c r="AM763" s="565"/>
      <c r="AN763" s="565"/>
      <c r="AO763" s="568"/>
      <c r="AP763" s="571"/>
      <c r="AQ763" s="343" t="s">
        <v>90</v>
      </c>
      <c r="AR763" s="411" t="s">
        <v>856</v>
      </c>
    </row>
    <row r="764" spans="2:44" ht="177.75" customHeight="1" thickTop="1" thickBot="1" x14ac:dyDescent="0.4">
      <c r="B764" s="537"/>
      <c r="C764" s="560"/>
      <c r="D764" s="610" t="s">
        <v>447</v>
      </c>
      <c r="E764" s="577"/>
      <c r="F764" s="678"/>
      <c r="G764" s="686"/>
      <c r="H764" s="689"/>
      <c r="I764" s="589"/>
      <c r="J764" s="589"/>
      <c r="K764" s="592"/>
      <c r="L764" s="589"/>
      <c r="M764" s="595"/>
      <c r="N764" s="598"/>
      <c r="O764" s="601"/>
      <c r="P764" s="595"/>
      <c r="Q764" s="604"/>
      <c r="R764" s="601"/>
      <c r="S764" s="287"/>
      <c r="T764" s="604"/>
      <c r="U764" s="142" t="s">
        <v>180</v>
      </c>
      <c r="V764" s="508" t="s">
        <v>892</v>
      </c>
      <c r="W764" s="331" t="s">
        <v>42</v>
      </c>
      <c r="X764" s="320">
        <f>IF(W764=[22]Listas!$B$46,[22]Listas!$C$46,IF(W764=[22]Listas!$B$47,[22]Listas!$C$47,IF(W764=[22]Listas!$B$48,[22]Listas!$C$48,"")))</f>
        <v>0.15</v>
      </c>
      <c r="Y764" s="321" t="str">
        <f>IF(OR(W764=[22]Listas!$F$53,W764=[22]Listas!$F$54),[22]Listas!$G$53,IF(W764=[22]Listas!$F$55,[22]Listas!$G$55,""))</f>
        <v>Probabilidad</v>
      </c>
      <c r="Z764" s="319" t="s">
        <v>43</v>
      </c>
      <c r="AA764" s="182">
        <f>+IF(Z764=[22]Listas!$E$46,[22]Listas!$F$46,IF(Z764=[22]Listas!$E$47,[22]Listas!$F$47,""))</f>
        <v>0.15</v>
      </c>
      <c r="AB764" s="183">
        <f>IFERROR(X764+AA764,"")</f>
        <v>0.3</v>
      </c>
      <c r="AC764" s="319" t="s">
        <v>57</v>
      </c>
      <c r="AD764" s="322" t="s">
        <v>58</v>
      </c>
      <c r="AE764" s="323" t="s">
        <v>59</v>
      </c>
      <c r="AF764" s="305" t="str">
        <f t="shared" si="109"/>
        <v>Baja</v>
      </c>
      <c r="AG764" s="145">
        <f>IF(Y764=[22]Listas!$G$53,AG763-(AG763*AB764),AG763)</f>
        <v>0.39200000000000002</v>
      </c>
      <c r="AH764" s="562"/>
      <c r="AI764" s="305" t="str">
        <f t="shared" si="110"/>
        <v>Moderado</v>
      </c>
      <c r="AJ764" s="145">
        <f>IF(Y764=[22]Listas!$G$55,AJ763-(AJ763*AB764),AJ763)</f>
        <v>0.44999999999999996</v>
      </c>
      <c r="AK764" s="562"/>
      <c r="AL764" s="565"/>
      <c r="AM764" s="565"/>
      <c r="AN764" s="565"/>
      <c r="AO764" s="568"/>
      <c r="AP764" s="571"/>
      <c r="AQ764" s="344"/>
      <c r="AR764" s="199"/>
    </row>
    <row r="765" spans="2:44" ht="201" customHeight="1" thickTop="1" thickBot="1" x14ac:dyDescent="0.4">
      <c r="B765" s="537"/>
      <c r="C765" s="560"/>
      <c r="D765" s="610" t="s">
        <v>447</v>
      </c>
      <c r="E765" s="577"/>
      <c r="F765" s="678"/>
      <c r="G765" s="686"/>
      <c r="H765" s="689"/>
      <c r="I765" s="589"/>
      <c r="J765" s="589"/>
      <c r="K765" s="592"/>
      <c r="L765" s="589"/>
      <c r="M765" s="595"/>
      <c r="N765" s="598"/>
      <c r="O765" s="601"/>
      <c r="P765" s="595"/>
      <c r="Q765" s="604"/>
      <c r="R765" s="601"/>
      <c r="S765" s="287"/>
      <c r="T765" s="604"/>
      <c r="U765" s="142" t="s">
        <v>190</v>
      </c>
      <c r="V765" s="415" t="s">
        <v>893</v>
      </c>
      <c r="W765" s="319" t="s">
        <v>40</v>
      </c>
      <c r="X765" s="320">
        <f>IF(W765=[22]Listas!$B$46,[22]Listas!$C$46,IF(W765=[22]Listas!$B$47,[22]Listas!$C$47,IF(W765=[22]Listas!$B$48,[22]Listas!$C$48,"")))</f>
        <v>0.25</v>
      </c>
      <c r="Y765" s="321" t="str">
        <f>IF(OR(W765=[22]Listas!$F$53,W765=[22]Listas!$F$54),[22]Listas!$G$53,IF(W765=[22]Listas!$F$55,[22]Listas!$G$55,""))</f>
        <v>Probabilidad</v>
      </c>
      <c r="Z765" s="319" t="s">
        <v>43</v>
      </c>
      <c r="AA765" s="182">
        <f>+IF(Z765=[22]Listas!$E$46,[22]Listas!$F$46,IF(Z765=[22]Listas!$E$47,[22]Listas!$F$47,""))</f>
        <v>0.15</v>
      </c>
      <c r="AB765" s="183">
        <f t="shared" ref="AB765:AB771" si="115">IFERROR(X765+AA765,"")</f>
        <v>0.4</v>
      </c>
      <c r="AC765" s="319" t="s">
        <v>57</v>
      </c>
      <c r="AD765" s="322" t="s">
        <v>58</v>
      </c>
      <c r="AE765" s="323" t="s">
        <v>59</v>
      </c>
      <c r="AF765" s="305" t="str">
        <f t="shared" si="109"/>
        <v>Baja</v>
      </c>
      <c r="AG765" s="145">
        <f>IF(Y765=[22]Listas!$G$53,AG764-(AG764*AB765),AG764)</f>
        <v>0.23519999999999999</v>
      </c>
      <c r="AH765" s="562"/>
      <c r="AI765" s="305" t="str">
        <f t="shared" si="110"/>
        <v>Moderado</v>
      </c>
      <c r="AJ765" s="145">
        <f>IF(Y765=[22]Listas!$G$55,AJ764-(AJ764*AB765),AJ764)</f>
        <v>0.44999999999999996</v>
      </c>
      <c r="AK765" s="562"/>
      <c r="AL765" s="565"/>
      <c r="AM765" s="565"/>
      <c r="AN765" s="565"/>
      <c r="AO765" s="568"/>
      <c r="AP765" s="571"/>
      <c r="AQ765" s="343"/>
      <c r="AR765" s="191"/>
    </row>
    <row r="766" spans="2:44" ht="197.25" customHeight="1" thickTop="1" thickBot="1" x14ac:dyDescent="0.4">
      <c r="B766" s="537"/>
      <c r="C766" s="560"/>
      <c r="D766" s="610" t="s">
        <v>447</v>
      </c>
      <c r="E766" s="577"/>
      <c r="F766" s="678"/>
      <c r="G766" s="686"/>
      <c r="H766" s="689"/>
      <c r="I766" s="589"/>
      <c r="J766" s="589"/>
      <c r="K766" s="592"/>
      <c r="L766" s="589"/>
      <c r="M766" s="595"/>
      <c r="N766" s="598"/>
      <c r="O766" s="601"/>
      <c r="P766" s="595"/>
      <c r="Q766" s="604"/>
      <c r="R766" s="601"/>
      <c r="S766" s="287"/>
      <c r="T766" s="604"/>
      <c r="U766" s="142" t="s">
        <v>198</v>
      </c>
      <c r="V766" s="415" t="s">
        <v>894</v>
      </c>
      <c r="W766" s="331" t="s">
        <v>40</v>
      </c>
      <c r="X766" s="320">
        <f>IF(W766=[22]Listas!$B$46,[22]Listas!$C$46,IF(W766=[22]Listas!$B$47,[22]Listas!$C$47,IF(W766=[22]Listas!$B$48,[22]Listas!$C$48,"")))</f>
        <v>0.25</v>
      </c>
      <c r="Y766" s="321" t="str">
        <f>IF(OR(W766=[22]Listas!$F$53,W766=[22]Listas!$F$54),[22]Listas!$G$53,IF(W766=[22]Listas!$F$55,[22]Listas!$G$55,""))</f>
        <v>Probabilidad</v>
      </c>
      <c r="Z766" s="331" t="s">
        <v>43</v>
      </c>
      <c r="AA766" s="182">
        <f>+IF(Z766=[22]Listas!$E$46,[22]Listas!$F$46,IF(Z766=[22]Listas!$E$47,[22]Listas!$F$47,""))</f>
        <v>0.15</v>
      </c>
      <c r="AB766" s="183">
        <f t="shared" si="115"/>
        <v>0.4</v>
      </c>
      <c r="AC766" s="319" t="s">
        <v>57</v>
      </c>
      <c r="AD766" s="322" t="s">
        <v>58</v>
      </c>
      <c r="AE766" s="323" t="s">
        <v>59</v>
      </c>
      <c r="AF766" s="305" t="str">
        <f t="shared" si="109"/>
        <v>Muy baja</v>
      </c>
      <c r="AG766" s="145">
        <f>IF(Y766=[22]Listas!$G$53,AG765-(AG765*AB766),AG765)</f>
        <v>0.14112</v>
      </c>
      <c r="AH766" s="562"/>
      <c r="AI766" s="305" t="str">
        <f t="shared" si="110"/>
        <v>Moderado</v>
      </c>
      <c r="AJ766" s="145">
        <f>IF(Y766=[22]Listas!$G$55,AJ765-(AJ765*AB766),AJ765)</f>
        <v>0.44999999999999996</v>
      </c>
      <c r="AK766" s="562"/>
      <c r="AL766" s="565"/>
      <c r="AM766" s="565"/>
      <c r="AN766" s="565"/>
      <c r="AO766" s="568"/>
      <c r="AP766" s="571"/>
      <c r="AQ766" s="343"/>
      <c r="AR766" s="191"/>
    </row>
    <row r="767" spans="2:44" ht="16" hidden="1" customHeight="1" x14ac:dyDescent="0.35">
      <c r="B767" s="537"/>
      <c r="C767" s="560"/>
      <c r="D767" s="610" t="s">
        <v>447</v>
      </c>
      <c r="E767" s="577"/>
      <c r="F767" s="678"/>
      <c r="G767" s="686"/>
      <c r="H767" s="689"/>
      <c r="I767" s="589"/>
      <c r="J767" s="589"/>
      <c r="K767" s="592"/>
      <c r="L767" s="589"/>
      <c r="M767" s="595"/>
      <c r="N767" s="598"/>
      <c r="O767" s="601"/>
      <c r="P767" s="595"/>
      <c r="Q767" s="604"/>
      <c r="R767" s="601"/>
      <c r="S767" s="288"/>
      <c r="T767" s="604"/>
      <c r="U767" s="142" t="s">
        <v>208</v>
      </c>
      <c r="V767" s="418"/>
      <c r="W767" s="331"/>
      <c r="X767" s="320" t="str">
        <f>IF(W767=[22]Listas!$B$46,[22]Listas!$C$46,IF(W767=[22]Listas!$B$47,[22]Listas!$C$47,IF(W767=[22]Listas!$B$48,[22]Listas!$C$48,"")))</f>
        <v/>
      </c>
      <c r="Y767" s="321" t="str">
        <f>IF(OR(W767=[22]Listas!$F$53,W767=[22]Listas!$F$54),[22]Listas!$G$53,IF(W767=[22]Listas!$F$55,[22]Listas!$G$55,""))</f>
        <v/>
      </c>
      <c r="Z767" s="331"/>
      <c r="AA767" s="182" t="str">
        <f>+IF(Z767=[22]Listas!$E$46,[22]Listas!$F$46,IF(Z767=[22]Listas!$E$47,[22]Listas!$F$47,""))</f>
        <v/>
      </c>
      <c r="AB767" s="183" t="str">
        <f t="shared" si="115"/>
        <v/>
      </c>
      <c r="AC767" s="319"/>
      <c r="AD767" s="322"/>
      <c r="AE767" s="323"/>
      <c r="AF767" s="305" t="str">
        <f t="shared" si="109"/>
        <v>Muy baja</v>
      </c>
      <c r="AG767" s="145">
        <f>IF(Y767=[22]Listas!$G$53,AG766-(AG766*AB767),AG766)</f>
        <v>0.14112</v>
      </c>
      <c r="AH767" s="562"/>
      <c r="AI767" s="305" t="str">
        <f t="shared" si="110"/>
        <v>Moderado</v>
      </c>
      <c r="AJ767" s="145">
        <f>IF(Y767=[22]Listas!$G$55,AJ766-(AJ766*AB767),AJ766)</f>
        <v>0.44999999999999996</v>
      </c>
      <c r="AK767" s="562"/>
      <c r="AL767" s="565"/>
      <c r="AM767" s="565"/>
      <c r="AN767" s="565"/>
      <c r="AO767" s="568"/>
      <c r="AP767" s="571"/>
      <c r="AQ767" s="343"/>
      <c r="AR767" s="191"/>
    </row>
    <row r="768" spans="2:44" ht="16" hidden="1" customHeight="1" x14ac:dyDescent="0.35">
      <c r="B768" s="537"/>
      <c r="C768" s="560"/>
      <c r="D768" s="610" t="s">
        <v>447</v>
      </c>
      <c r="E768" s="577"/>
      <c r="F768" s="678"/>
      <c r="G768" s="686"/>
      <c r="H768" s="689"/>
      <c r="I768" s="589"/>
      <c r="J768" s="589"/>
      <c r="K768" s="592"/>
      <c r="L768" s="589"/>
      <c r="M768" s="595"/>
      <c r="N768" s="598"/>
      <c r="O768" s="601"/>
      <c r="P768" s="595"/>
      <c r="Q768" s="604"/>
      <c r="R768" s="601"/>
      <c r="S768" s="289"/>
      <c r="T768" s="604"/>
      <c r="U768" s="142" t="s">
        <v>215</v>
      </c>
      <c r="V768" s="418"/>
      <c r="W768" s="331"/>
      <c r="X768" s="320" t="str">
        <f>IF(W768=[22]Listas!$B$46,[22]Listas!$C$46,IF(W768=[22]Listas!$B$47,[22]Listas!$C$47,IF(W768=[22]Listas!$B$48,[22]Listas!$C$48,"")))</f>
        <v/>
      </c>
      <c r="Y768" s="321" t="str">
        <f>IF(OR(W768=[22]Listas!$F$53,W768=[22]Listas!$F$54),[22]Listas!$G$53,IF(W768=[22]Listas!$F$55,[22]Listas!$G$55,""))</f>
        <v/>
      </c>
      <c r="Z768" s="331"/>
      <c r="AA768" s="182" t="str">
        <f>+IF(Z768=[22]Listas!$E$46,[22]Listas!$F$46,IF(Z768=[22]Listas!$E$47,[22]Listas!$F$47,""))</f>
        <v/>
      </c>
      <c r="AB768" s="183" t="str">
        <f t="shared" si="115"/>
        <v/>
      </c>
      <c r="AC768" s="319"/>
      <c r="AD768" s="322"/>
      <c r="AE768" s="323"/>
      <c r="AF768" s="305" t="str">
        <f t="shared" si="109"/>
        <v>Muy baja</v>
      </c>
      <c r="AG768" s="145">
        <f>IF(Y768=[22]Listas!$G$53,AG767-(AG767*AB768),AG767)</f>
        <v>0.14112</v>
      </c>
      <c r="AH768" s="562"/>
      <c r="AI768" s="305" t="str">
        <f t="shared" si="110"/>
        <v>Moderado</v>
      </c>
      <c r="AJ768" s="145">
        <f>IF(Y768=[22]Listas!$G$55,AJ767-(AJ767*AB768),AJ767)</f>
        <v>0.44999999999999996</v>
      </c>
      <c r="AK768" s="562"/>
      <c r="AL768" s="565"/>
      <c r="AM768" s="565"/>
      <c r="AN768" s="565"/>
      <c r="AO768" s="568"/>
      <c r="AP768" s="571"/>
      <c r="AQ768" s="344"/>
      <c r="AR768" s="191"/>
    </row>
    <row r="769" spans="2:44" ht="16" hidden="1" customHeight="1" thickTop="1" x14ac:dyDescent="0.35">
      <c r="B769" s="537"/>
      <c r="C769" s="560"/>
      <c r="D769" s="610" t="s">
        <v>447</v>
      </c>
      <c r="E769" s="577"/>
      <c r="F769" s="678"/>
      <c r="G769" s="686"/>
      <c r="H769" s="689"/>
      <c r="I769" s="589"/>
      <c r="J769" s="589"/>
      <c r="K769" s="592"/>
      <c r="L769" s="589"/>
      <c r="M769" s="595"/>
      <c r="N769" s="598"/>
      <c r="O769" s="601"/>
      <c r="P769" s="595"/>
      <c r="Q769" s="604"/>
      <c r="R769" s="601"/>
      <c r="S769" s="289"/>
      <c r="T769" s="604"/>
      <c r="U769" s="142" t="s">
        <v>220</v>
      </c>
      <c r="V769" s="418"/>
      <c r="W769" s="331"/>
      <c r="X769" s="320" t="str">
        <f>IF(W769=[22]Listas!$B$46,[22]Listas!$C$46,IF(W769=[22]Listas!$B$47,[22]Listas!$C$47,IF(W769=[22]Listas!$B$48,[22]Listas!$C$48,"")))</f>
        <v/>
      </c>
      <c r="Y769" s="321" t="str">
        <f>IF(OR(W769=[22]Listas!$F$53,W769=[22]Listas!$F$54),[22]Listas!$G$53,IF(W769=[22]Listas!$F$55,[22]Listas!$G$55,""))</f>
        <v/>
      </c>
      <c r="Z769" s="331"/>
      <c r="AA769" s="182" t="str">
        <f>+IF(Z769=[22]Listas!$E$46,[22]Listas!$F$46,IF(Z769=[22]Listas!$E$47,[22]Listas!$F$47,""))</f>
        <v/>
      </c>
      <c r="AB769" s="183" t="str">
        <f t="shared" si="115"/>
        <v/>
      </c>
      <c r="AC769" s="319"/>
      <c r="AD769" s="322"/>
      <c r="AE769" s="323"/>
      <c r="AF769" s="305" t="str">
        <f t="shared" si="109"/>
        <v>Muy baja</v>
      </c>
      <c r="AG769" s="145">
        <f>IF(Y769=[22]Listas!$G$53,AG768-(AG768*AB769),AG768)</f>
        <v>0.14112</v>
      </c>
      <c r="AH769" s="562"/>
      <c r="AI769" s="305" t="str">
        <f t="shared" si="110"/>
        <v>Moderado</v>
      </c>
      <c r="AJ769" s="145">
        <f>IF(Y769=[22]Listas!$G$55,AJ768-(AJ768*AB769),AJ768)</f>
        <v>0.44999999999999996</v>
      </c>
      <c r="AK769" s="562"/>
      <c r="AL769" s="565"/>
      <c r="AM769" s="565"/>
      <c r="AN769" s="565"/>
      <c r="AO769" s="568"/>
      <c r="AP769" s="571"/>
      <c r="AQ769" s="345"/>
      <c r="AR769" s="191"/>
    </row>
    <row r="770" spans="2:44" ht="16" hidden="1" customHeight="1" thickTop="1" x14ac:dyDescent="0.35">
      <c r="B770" s="537"/>
      <c r="C770" s="560"/>
      <c r="D770" s="610" t="s">
        <v>447</v>
      </c>
      <c r="E770" s="577"/>
      <c r="F770" s="678"/>
      <c r="G770" s="686"/>
      <c r="H770" s="689"/>
      <c r="I770" s="589"/>
      <c r="J770" s="589"/>
      <c r="K770" s="592"/>
      <c r="L770" s="589"/>
      <c r="M770" s="595"/>
      <c r="N770" s="598"/>
      <c r="O770" s="601"/>
      <c r="P770" s="595"/>
      <c r="Q770" s="604"/>
      <c r="R770" s="601"/>
      <c r="S770" s="289"/>
      <c r="T770" s="604"/>
      <c r="U770" s="142" t="s">
        <v>223</v>
      </c>
      <c r="V770" s="418"/>
      <c r="W770" s="331"/>
      <c r="X770" s="320" t="str">
        <f>IF(W770=[22]Listas!$B$46,[22]Listas!$C$46,IF(W770=[22]Listas!$B$47,[22]Listas!$C$47,IF(W770=[22]Listas!$B$48,[22]Listas!$C$48,"")))</f>
        <v/>
      </c>
      <c r="Y770" s="321" t="str">
        <f>IF(OR(W770=[22]Listas!$F$53,W770=[22]Listas!$F$54),[22]Listas!$G$53,IF(W770=[22]Listas!$F$55,[22]Listas!$G$55,""))</f>
        <v/>
      </c>
      <c r="Z770" s="331"/>
      <c r="AA770" s="182" t="str">
        <f>+IF(Z770=[22]Listas!$E$46,[22]Listas!$F$46,IF(Z770=[22]Listas!$E$47,[22]Listas!$F$47,""))</f>
        <v/>
      </c>
      <c r="AB770" s="183" t="str">
        <f t="shared" si="115"/>
        <v/>
      </c>
      <c r="AC770" s="319"/>
      <c r="AD770" s="322"/>
      <c r="AE770" s="323"/>
      <c r="AF770" s="305" t="str">
        <f t="shared" si="109"/>
        <v>Muy baja</v>
      </c>
      <c r="AG770" s="145">
        <f>IF(Y770=[22]Listas!$G$53,AG769-(AG769*AB770),AG769)</f>
        <v>0.14112</v>
      </c>
      <c r="AH770" s="562"/>
      <c r="AI770" s="305" t="str">
        <f t="shared" si="110"/>
        <v>Moderado</v>
      </c>
      <c r="AJ770" s="145">
        <f>IF(Y770=[22]Listas!$G$55,AJ769-(AJ769*AB770),AJ769)</f>
        <v>0.44999999999999996</v>
      </c>
      <c r="AK770" s="562"/>
      <c r="AL770" s="565"/>
      <c r="AM770" s="565"/>
      <c r="AN770" s="565"/>
      <c r="AO770" s="568"/>
      <c r="AP770" s="571"/>
      <c r="AQ770" s="343"/>
      <c r="AR770" s="191"/>
    </row>
    <row r="771" spans="2:44" ht="16" hidden="1" customHeight="1" thickTop="1" x14ac:dyDescent="0.35">
      <c r="B771" s="537"/>
      <c r="C771" s="560"/>
      <c r="D771" s="611" t="s">
        <v>447</v>
      </c>
      <c r="E771" s="578"/>
      <c r="F771" s="679"/>
      <c r="G771" s="687"/>
      <c r="H771" s="690"/>
      <c r="I771" s="590"/>
      <c r="J771" s="590"/>
      <c r="K771" s="593"/>
      <c r="L771" s="590"/>
      <c r="M771" s="596"/>
      <c r="N771" s="599"/>
      <c r="O771" s="602"/>
      <c r="P771" s="596"/>
      <c r="Q771" s="605"/>
      <c r="R771" s="602"/>
      <c r="S771" s="293"/>
      <c r="T771" s="605"/>
      <c r="U771" s="202" t="s">
        <v>224</v>
      </c>
      <c r="V771" s="416"/>
      <c r="W771" s="335"/>
      <c r="X771" s="336" t="str">
        <f>IF(W771=[22]Listas!$B$46,[22]Listas!$C$46,IF(W771=[22]Listas!$B$47,[22]Listas!$C$47,IF(W771=[22]Listas!$B$48,[22]Listas!$C$48,"")))</f>
        <v/>
      </c>
      <c r="Y771" s="337" t="str">
        <f>IF(OR(W771=[22]Listas!$F$53,W771=[22]Listas!$F$54),[22]Listas!$G$53,IF(W771=[22]Listas!$F$55,[22]Listas!$G$55,""))</f>
        <v/>
      </c>
      <c r="Z771" s="335"/>
      <c r="AA771" s="186" t="str">
        <f>+IF(Z771=[22]Listas!$E$46,[22]Listas!$F$46,IF(Z771=[22]Listas!$E$47,[22]Listas!$F$47,""))</f>
        <v/>
      </c>
      <c r="AB771" s="187" t="str">
        <f t="shared" si="115"/>
        <v/>
      </c>
      <c r="AC771" s="338"/>
      <c r="AD771" s="339"/>
      <c r="AE771" s="340"/>
      <c r="AF771" s="311" t="str">
        <f t="shared" si="109"/>
        <v>Muy baja</v>
      </c>
      <c r="AG771" s="179">
        <f>IF(Y771=[22]Listas!$G$53,AG770-(AG770*AB771),AG770)</f>
        <v>0.14112</v>
      </c>
      <c r="AH771" s="563"/>
      <c r="AI771" s="311" t="str">
        <f t="shared" si="110"/>
        <v>Moderado</v>
      </c>
      <c r="AJ771" s="179">
        <f>IF(Y771=[22]Listas!$G$55,AJ770-(AJ770*AB771),AJ770)</f>
        <v>0.44999999999999996</v>
      </c>
      <c r="AK771" s="563"/>
      <c r="AL771" s="566"/>
      <c r="AM771" s="566"/>
      <c r="AN771" s="566"/>
      <c r="AO771" s="569"/>
      <c r="AP771" s="572"/>
      <c r="AQ771" s="359"/>
      <c r="AR771" s="192"/>
    </row>
    <row r="772" spans="2:44" ht="191.25" customHeight="1" thickTop="1" thickBot="1" x14ac:dyDescent="0.4">
      <c r="B772" s="537"/>
      <c r="C772" s="560"/>
      <c r="D772" s="609" t="s">
        <v>895</v>
      </c>
      <c r="E772" s="576" t="s">
        <v>3</v>
      </c>
      <c r="F772" s="645" t="s">
        <v>896</v>
      </c>
      <c r="G772" s="662" t="s">
        <v>897</v>
      </c>
      <c r="H772" s="651" t="s">
        <v>898</v>
      </c>
      <c r="I772" s="588" t="s">
        <v>23</v>
      </c>
      <c r="J772" s="588" t="s">
        <v>29</v>
      </c>
      <c r="K772" s="591" t="s">
        <v>899</v>
      </c>
      <c r="L772" s="588" t="s">
        <v>168</v>
      </c>
      <c r="M772" s="594" t="s">
        <v>207</v>
      </c>
      <c r="N772" s="597" t="str">
        <f>+IF(M772="","",IF(M772=$BO$15,$BN$15,IF(M772=$BO$16,$BN$16,IF(M772=$BO$17,$BN$17,IF(M772=$BO$18,$BN$18,IF(M772=$BO$19,$BN$19))))))</f>
        <v>Baja</v>
      </c>
      <c r="O772" s="600">
        <f>+IF(M772="","",IF(M772=$BO$15,$BR$15,IF(M772=$BO$16,$BR$16,IF(M772=$BO$17,$BR$17,IF(M772=$BO$18,$BR$18,IF(M772=$BO$19,$BR$19))))))</f>
        <v>0.4</v>
      </c>
      <c r="P772" s="594" t="s">
        <v>218</v>
      </c>
      <c r="Q772" s="603" t="str">
        <f>+IF(P772="","",IF(P772='[22]Mapa de Calor inherente'!$AF$6,'[22]Mapa de Calor inherente'!$AD$6,IF(P772='[22]Mapa de Calor inherente'!$AF$7,'[22]Mapa de Calor inherente'!$AD$7,IF(P772='[22]Mapa de Calor inherente'!$AF$8,'[22]Mapa de Calor inherente'!$AD$8,IF(P772='[22]Mapa de Calor inherente'!$AF$9,'[22]Mapa de Calor inherente'!$AD$9,IF(P772='[22]Mapa de Calor inherente'!$AF$10,'[22]Mapa de Calor inherente'!$AD$10,IF(P772='[22]Mapa de Calor inherente'!$AG$6,'[22]Mapa de Calor inherente'!$AD$6,IF(P772='[22]Mapa de Calor inherente'!$AG$7,'[22]Mapa de Calor inherente'!$AD$7,IF(P772='[22]Mapa de Calor inherente'!$AG$8,'[22]Mapa de Calor inherente'!$AD$8,IF(P772='[22]Mapa de Calor inherente'!$AG$9,'[22]Mapa de Calor inherente'!$AD$9,IF(P772='[22]Mapa de Calor inherente'!$AG$10,'[22]Mapa de Calor inherente'!$AD$10,IF(P772='[22]Mapa de Calor inherente'!$AD$8,'[22]Mapa de Calor inherente'!$AD$8,IF(P772='[22]Mapa de Calor inherente'!$AD$9,'[22]Mapa de Calor inherente'!$AD$9,IF(P772='[22]Mapa de Calor inherente'!$AD$10,'[22]Mapa de Calor inherente'!$AD$10))))))))))))))</f>
        <v>Mayor</v>
      </c>
      <c r="R772" s="600">
        <f>+IF(P772="","",IF(P772='[22]Mapa de Calor inherente'!$AF$6,'[22]Mapa de Calor inherente'!$AE$6,IF(P772='[22]Mapa de Calor inherente'!$AF$7,'[22]Mapa de Calor inherente'!$AE$7,IF(P772='[22]Mapa de Calor inherente'!$AF$8,'[22]Mapa de Calor inherente'!$AE$8,IF(P772='[22]Mapa de Calor inherente'!$AF$9,'[22]Mapa de Calor inherente'!$AE$9,IF(P772='[22]Mapa de Calor inherente'!$AF$10,'[22]Mapa de Calor inherente'!$AE$10,IF(P772='[22]Mapa de Calor inherente'!$AG$6,'[22]Mapa de Calor inherente'!$AE$6,IF(P772='[22]Mapa de Calor inherente'!$AG$7,'[22]Mapa de Calor inherente'!$AE$7,IF(P772='[22]Mapa de Calor inherente'!$AG$8,'[22]Mapa de Calor inherente'!$AE$8,IF(P772='[22]Mapa de Calor inherente'!$AG$9,'[22]Mapa de Calor inherente'!$AE$9,IF(P772='[22]Mapa de Calor inherente'!$AG$10,'[22]Mapa de Calor inherente'!$AE$10,IF(P772='[22]Mapa de Calor inherente'!$AD$8,'[22]Mapa de Calor inherente'!$AE$8,IF(P772='[22]Mapa de Calor inherente'!$AD$9,'[22]Mapa de Calor inherente'!$AE$9,IF(P772='[22]Mapa de Calor inherente'!$AD$10,'[22]Mapa de Calor inherente'!$AE$10))))))))))))))</f>
        <v>0.8</v>
      </c>
      <c r="S772" s="292" t="e">
        <f>IF(N772="","",IF(R772="","",(N772*R772)))</f>
        <v>#VALUE!</v>
      </c>
      <c r="T772" s="603" t="str">
        <f>+IF(N772=$BB$17,IF(Q772=$BC$16,$BC$17,IF(Q772=$BD$16,$BD$17,IF(Q772=$BE$16,$BE$17,IF(Q772=$BF$16,$BF$17,IF(Q772=$BG$16,$BG$17))))),IF(N772=$BB$18,IF(Q772=$BC$16,$BC$18,IF(Q772=$BD$16,$BD$18,IF(Q772=$BE$16,$BE$18,IF(Q772=$BF$16,$BF$18,IF(Q772=$BG$16,$BG$18))))),IF(N772=$BB$19,IF(Q772=$BC$16,$BC$19,IF(Q772=$BD$16,$BD$19,IF(Q772=$BE$16,$BE$19,IF(Q772=$BF$16,$BF$19,IF(Q772=$BG$16,$BG$19))))),IF(N772=$BB$20,IF(Q772=$BC$16,$BC$20,IF(Q772=$BD$16,$BD$20,IF(Q772=$BE$16,$BE$20,IF(Q772=$BF$16,$BF$20,IF(Q772=$BG$16,$BG$20))))),IF(N772=$BB$21,IF(Q772=$BC$16,$BC$21,IF(Q772=$BD$16,$BD$21,IF(Q772=$BE$16,$BE$21,IF(Q772=$BF$16,$BF$21,IF(Q772=$BG$16,$BG$21))))),"")))))</f>
        <v>Alto</v>
      </c>
      <c r="U772" s="139" t="s">
        <v>171</v>
      </c>
      <c r="V772" s="488" t="s">
        <v>900</v>
      </c>
      <c r="W772" s="313" t="s">
        <v>40</v>
      </c>
      <c r="X772" s="314">
        <f>IF(W772=[22]Listas!$B$46,[22]Listas!$C$46,IF(W772=[22]Listas!$B$47,[22]Listas!$C$47,IF(W772=[22]Listas!$B$48,[22]Listas!$C$48,"")))</f>
        <v>0.25</v>
      </c>
      <c r="Y772" s="315" t="str">
        <f>IF(OR(W772=[22]Listas!$F$53,W772=[22]Listas!$F$54),[22]Listas!$G$53,IF(W772=[22]Listas!$F$55,[22]Listas!$G$55,""))</f>
        <v>Probabilidad</v>
      </c>
      <c r="Z772" s="313" t="s">
        <v>43</v>
      </c>
      <c r="AA772" s="314">
        <f>+IF(Z772=[22]Listas!$E$46,[22]Listas!$F$46,IF(Z772=[22]Listas!$E$47,[22]Listas!$F$47,""))</f>
        <v>0.15</v>
      </c>
      <c r="AB772" s="181">
        <f>IFERROR(X772+AA772,"")</f>
        <v>0.4</v>
      </c>
      <c r="AC772" s="313" t="s">
        <v>57</v>
      </c>
      <c r="AD772" s="316" t="s">
        <v>58</v>
      </c>
      <c r="AE772" s="317" t="s">
        <v>59</v>
      </c>
      <c r="AF772" s="299" t="str">
        <f t="shared" si="109"/>
        <v>Baja</v>
      </c>
      <c r="AG772" s="141">
        <f>IF(Y772=[22]Listas!$G$53,O772-(O772*AB772),O772)</f>
        <v>0.24</v>
      </c>
      <c r="AH772" s="561">
        <f>+IF(AG781="","",AG781)</f>
        <v>0.14399999999999999</v>
      </c>
      <c r="AI772" s="299" t="str">
        <f>IF(AJ772="","",IF(AJ772&lt;=20%,"Leve",IF(AJ772&lt;=40%,"Menor",IF(AJ772&lt;=60%,"Moderado",IF(AJ772&lt;=80%,"Mayor","Catastrófico")))))</f>
        <v>Mayor</v>
      </c>
      <c r="AJ772" s="141">
        <f>IF(Y772=[22]Listas!$G$55,R772-(R772*AB772),R772)</f>
        <v>0.8</v>
      </c>
      <c r="AK772" s="561">
        <f>+IF(AJ781="","",AJ781)</f>
        <v>0.8</v>
      </c>
      <c r="AL772" s="564" t="str">
        <f>+IF(AH772=0,"",IF(AH772&lt;=$BA$21,$BB$21,IF(AH772&lt;=$BA$20,$BB$20,IF(AH772&lt;=$BA$19,$BB$19,IF(AH772&lt;=$BA$18,$BB$18,IF(AH772&lt;=$BA$17,$BB$17,""))))))</f>
        <v>Muy Baja</v>
      </c>
      <c r="AM772" s="564" t="str">
        <f>+IF(AK772=0,"",IF(AK772&lt;=$BC$15,$BC$16,IF(AK772&lt;=$BD$15,$BD$16,IF(AK772&lt;=$BE$15,$BE$16,IF(AK772&lt;=$BF$15,$BF$16,IF(AK772&lt;=$BG$15,$BG$16,""))))))</f>
        <v>Mayor</v>
      </c>
      <c r="AN772" s="564" t="str">
        <f>IF(AL772=$BB$17,IF(AM772=$BC$16,$BC$17,IF(AM772=$BD$16,$BD$17,IF(AM772=$BE$16,$BE$17,IF(AM772=$BF$16,$BF$17,IF(AM772=$BG$16,$BG$17))))),IF(AL772=$BB$18,IF(AM772=$BC$16,$BC$18,IF(AM772=$BD$16,$BD$18,IF(AM772=$BE$16,$BE$18,IF(AM772=$BF$16,$BF$18,IF(AM772=$BG$16,$BG$18))))),IF(AL772=$BB$19,IF(AM772=$BC$16,$BC$19,IF(AM772=$BD$16,$BD$19,IF(AM772=$BE$16,$BE$19,IF(AM772=$BF$16,$BF$19,IF(AM772=$BG$16,$BG$19))))),IF(AL772=$BB$20,IF(AM772=$BC$16,$BC$20,IF(AM772=$BD$16,$BD$20,IF(AM772=$BE$16,$BE$20,IF(AM772=$BF$16,$BF$20,IF(AM772=$BG$16,$BG$20))))),IF(AL772=$BB$21,IF(AM772=$BC$16,$BC$21,IF(AM772=$BD$16,$BD$21,IF(AM772=$BE$16,$BE$21,IF(AM772=$BF$16,$BF$21,IF(AM772=$BG$16,$BG$21))))),"")))))</f>
        <v>Alto</v>
      </c>
      <c r="AO772" s="567" t="str">
        <f>IF(AP772="","",IF(AP772=[22]Listas!$F$61,[22]Listas!$G$61,IF(AP772=[22]Listas!$F$63,[22]Listas!$G$63,IF(AP772=[22]Listas!$F$64,[22]Listas!$G$64))))</f>
        <v>Requiere Plan de Acción</v>
      </c>
      <c r="AP772" s="570" t="str">
        <f>IF(AN772="","",IF(OR(AN772=[22]Listas!$E$61,AN772=[22]Listas!$E$62),[22]Listas!$F$61,IF(AN772=[22]Listas!$E$63,[22]Listas!$F$63,IF(AN772=[22]Listas!$E$64,[22]Listas!$F$64))))</f>
        <v>Reducir, evitar, compartir o transferir el riesgo</v>
      </c>
      <c r="AQ772" s="358" t="s">
        <v>80</v>
      </c>
      <c r="AR772" s="191" t="s">
        <v>901</v>
      </c>
    </row>
    <row r="773" spans="2:44" ht="169" thickTop="1" thickBot="1" x14ac:dyDescent="0.4">
      <c r="B773" s="537"/>
      <c r="C773" s="560"/>
      <c r="D773" s="610" t="s">
        <v>456</v>
      </c>
      <c r="E773" s="577"/>
      <c r="F773" s="646"/>
      <c r="G773" s="663"/>
      <c r="H773" s="652"/>
      <c r="I773" s="589"/>
      <c r="J773" s="589"/>
      <c r="K773" s="592"/>
      <c r="L773" s="589"/>
      <c r="M773" s="595"/>
      <c r="N773" s="598"/>
      <c r="O773" s="601"/>
      <c r="P773" s="595"/>
      <c r="Q773" s="604"/>
      <c r="R773" s="601"/>
      <c r="S773" s="286"/>
      <c r="T773" s="604"/>
      <c r="U773" s="142" t="s">
        <v>174</v>
      </c>
      <c r="V773" s="509" t="s">
        <v>902</v>
      </c>
      <c r="W773" s="319" t="s">
        <v>40</v>
      </c>
      <c r="X773" s="320">
        <f>IF(W773=[22]Listas!$B$46,[22]Listas!$C$46,IF(W773=[22]Listas!$B$47,[22]Listas!$C$47,IF(W773=[22]Listas!$B$48,[22]Listas!$C$48,"")))</f>
        <v>0.25</v>
      </c>
      <c r="Y773" s="321" t="str">
        <f>IF(OR(W773=[22]Listas!$F$53,W773=[22]Listas!$F$54),[22]Listas!$G$53,IF(W773=[22]Listas!$F$55,[22]Listas!$G$55,""))</f>
        <v>Probabilidad</v>
      </c>
      <c r="Z773" s="319" t="s">
        <v>43</v>
      </c>
      <c r="AA773" s="182">
        <f>+IF(Z773=[22]Listas!$E$46,[22]Listas!$F$46,IF(Z773=[22]Listas!$E$47,[22]Listas!$F$47,""))</f>
        <v>0.15</v>
      </c>
      <c r="AB773" s="183">
        <f>IFERROR(X773+AA773,"")</f>
        <v>0.4</v>
      </c>
      <c r="AC773" s="319" t="s">
        <v>57</v>
      </c>
      <c r="AD773" s="322" t="s">
        <v>58</v>
      </c>
      <c r="AE773" s="323" t="s">
        <v>59</v>
      </c>
      <c r="AF773" s="305" t="str">
        <f t="shared" si="109"/>
        <v>Muy baja</v>
      </c>
      <c r="AG773" s="145">
        <f>IF(Y773=[22]Listas!$G$53,AG772-(AG772*AB773),AG772)</f>
        <v>0.14399999999999999</v>
      </c>
      <c r="AH773" s="562"/>
      <c r="AI773" s="305" t="str">
        <f t="shared" si="110"/>
        <v>Mayor</v>
      </c>
      <c r="AJ773" s="145">
        <f>IF(Y773=[22]Listas!$G$55,AJ772-(AJ772*AB773),AJ772)</f>
        <v>0.8</v>
      </c>
      <c r="AK773" s="562"/>
      <c r="AL773" s="565"/>
      <c r="AM773" s="565"/>
      <c r="AN773" s="565"/>
      <c r="AO773" s="568"/>
      <c r="AP773" s="571"/>
      <c r="AQ773" s="345" t="s">
        <v>90</v>
      </c>
      <c r="AR773" s="191" t="s">
        <v>856</v>
      </c>
    </row>
    <row r="774" spans="2:44" hidden="1" x14ac:dyDescent="0.35">
      <c r="B774" s="537"/>
      <c r="C774" s="560"/>
      <c r="D774" s="610" t="s">
        <v>456</v>
      </c>
      <c r="E774" s="577"/>
      <c r="F774" s="646"/>
      <c r="G774" s="663"/>
      <c r="H774" s="652"/>
      <c r="I774" s="589"/>
      <c r="J774" s="589"/>
      <c r="K774" s="592"/>
      <c r="L774" s="589"/>
      <c r="M774" s="595"/>
      <c r="N774" s="598"/>
      <c r="O774" s="601"/>
      <c r="P774" s="595"/>
      <c r="Q774" s="604"/>
      <c r="R774" s="601"/>
      <c r="S774" s="287"/>
      <c r="T774" s="604"/>
      <c r="U774" s="142" t="s">
        <v>180</v>
      </c>
      <c r="V774" s="418"/>
      <c r="W774" s="331"/>
      <c r="X774" s="320" t="str">
        <f>IF(W774=[22]Listas!$B$46,[22]Listas!$C$46,IF(W774=[22]Listas!$B$47,[22]Listas!$C$47,IF(W774=[22]Listas!$B$48,[22]Listas!$C$48,"")))</f>
        <v/>
      </c>
      <c r="Y774" s="321" t="str">
        <f>IF(OR(W774=[22]Listas!$F$53,W774=[22]Listas!$F$54),[22]Listas!$G$53,IF(W774=[22]Listas!$F$55,[22]Listas!$G$55,""))</f>
        <v/>
      </c>
      <c r="Z774" s="319"/>
      <c r="AA774" s="182" t="str">
        <f>+IF(Z774=[22]Listas!$E$46,[22]Listas!$F$46,IF(Z774=[22]Listas!$E$47,[22]Listas!$F$47,""))</f>
        <v/>
      </c>
      <c r="AB774" s="183" t="str">
        <f>IFERROR(X774+AA774,"")</f>
        <v/>
      </c>
      <c r="AC774" s="325"/>
      <c r="AD774" s="326"/>
      <c r="AE774" s="327"/>
      <c r="AF774" s="305" t="str">
        <f t="shared" si="109"/>
        <v>Muy baja</v>
      </c>
      <c r="AG774" s="145">
        <f>IF(Y774=[22]Listas!$G$53,AG773-(AG773*AB774),AG773)</f>
        <v>0.14399999999999999</v>
      </c>
      <c r="AH774" s="562"/>
      <c r="AI774" s="305" t="str">
        <f t="shared" si="110"/>
        <v>Mayor</v>
      </c>
      <c r="AJ774" s="145">
        <f>IF(Y774=[22]Listas!$G$55,AJ773-(AJ773*AB774),AJ773)</f>
        <v>0.8</v>
      </c>
      <c r="AK774" s="562"/>
      <c r="AL774" s="565"/>
      <c r="AM774" s="565"/>
      <c r="AN774" s="565"/>
      <c r="AO774" s="568"/>
      <c r="AP774" s="571"/>
      <c r="AQ774" s="345"/>
      <c r="AR774" s="191"/>
    </row>
    <row r="775" spans="2:44" ht="16" hidden="1" customHeight="1" x14ac:dyDescent="0.35">
      <c r="B775" s="537"/>
      <c r="C775" s="560"/>
      <c r="D775" s="610" t="s">
        <v>456</v>
      </c>
      <c r="E775" s="577"/>
      <c r="F775" s="646"/>
      <c r="G775" s="663"/>
      <c r="H775" s="652"/>
      <c r="I775" s="589"/>
      <c r="J775" s="589"/>
      <c r="K775" s="592"/>
      <c r="L775" s="589"/>
      <c r="M775" s="595"/>
      <c r="N775" s="598"/>
      <c r="O775" s="601"/>
      <c r="P775" s="595"/>
      <c r="Q775" s="604"/>
      <c r="R775" s="601"/>
      <c r="S775" s="287"/>
      <c r="T775" s="604"/>
      <c r="U775" s="142" t="s">
        <v>190</v>
      </c>
      <c r="V775" s="418"/>
      <c r="W775" s="319"/>
      <c r="X775" s="320" t="str">
        <f>IF(W775=[22]Listas!$B$46,[22]Listas!$C$46,IF(W775=[22]Listas!$B$47,[22]Listas!$C$47,IF(W775=[22]Listas!$B$48,[22]Listas!$C$48,"")))</f>
        <v/>
      </c>
      <c r="Y775" s="321" t="str">
        <f>IF(OR(W775=[22]Listas!$F$53,W775=[22]Listas!$F$54),[22]Listas!$G$53,IF(W775=[22]Listas!$F$55,[22]Listas!$G$55,""))</f>
        <v/>
      </c>
      <c r="Z775" s="319"/>
      <c r="AA775" s="182" t="str">
        <f>+IF(Z775=[22]Listas!$E$46,[22]Listas!$F$46,IF(Z775=[22]Listas!$E$47,[22]Listas!$F$47,""))</f>
        <v/>
      </c>
      <c r="AB775" s="183" t="str">
        <f t="shared" ref="AB775:AB781" si="116">IFERROR(X775+AA775,"")</f>
        <v/>
      </c>
      <c r="AC775" s="328"/>
      <c r="AD775" s="329"/>
      <c r="AE775" s="330"/>
      <c r="AF775" s="305" t="str">
        <f t="shared" si="109"/>
        <v>Muy baja</v>
      </c>
      <c r="AG775" s="145">
        <f>IF(Y775=[22]Listas!$G$53,AG774-(AG774*AB775),AG774)</f>
        <v>0.14399999999999999</v>
      </c>
      <c r="AH775" s="562"/>
      <c r="AI775" s="305" t="str">
        <f t="shared" si="110"/>
        <v>Mayor</v>
      </c>
      <c r="AJ775" s="145">
        <f>IF(Y775=[22]Listas!$G$55,AJ774-(AJ774*AB775),AJ774)</f>
        <v>0.8</v>
      </c>
      <c r="AK775" s="562"/>
      <c r="AL775" s="565"/>
      <c r="AM775" s="565"/>
      <c r="AN775" s="565"/>
      <c r="AO775" s="568"/>
      <c r="AP775" s="571"/>
      <c r="AQ775" s="343"/>
      <c r="AR775" s="191"/>
    </row>
    <row r="776" spans="2:44" ht="16" hidden="1" customHeight="1" thickTop="1" thickBot="1" x14ac:dyDescent="0.4">
      <c r="B776" s="537"/>
      <c r="C776" s="560"/>
      <c r="D776" s="610" t="s">
        <v>456</v>
      </c>
      <c r="E776" s="577"/>
      <c r="F776" s="646"/>
      <c r="G776" s="663"/>
      <c r="H776" s="652"/>
      <c r="I776" s="589"/>
      <c r="J776" s="589"/>
      <c r="K776" s="592"/>
      <c r="L776" s="589"/>
      <c r="M776" s="595"/>
      <c r="N776" s="598"/>
      <c r="O776" s="601"/>
      <c r="P776" s="595"/>
      <c r="Q776" s="604"/>
      <c r="R776" s="601"/>
      <c r="S776" s="287"/>
      <c r="T776" s="604"/>
      <c r="U776" s="142" t="s">
        <v>198</v>
      </c>
      <c r="V776" s="418"/>
      <c r="W776" s="331"/>
      <c r="X776" s="320" t="str">
        <f>IF(W776=[22]Listas!$B$46,[22]Listas!$C$46,IF(W776=[22]Listas!$B$47,[22]Listas!$C$47,IF(W776=[22]Listas!$B$48,[22]Listas!$C$48,"")))</f>
        <v/>
      </c>
      <c r="Y776" s="321" t="str">
        <f>IF(OR(W776=[22]Listas!$F$53,W776=[22]Listas!$F$54),[22]Listas!$G$53,IF(W776=[22]Listas!$F$55,[22]Listas!$G$55,""))</f>
        <v/>
      </c>
      <c r="Z776" s="331"/>
      <c r="AA776" s="182" t="str">
        <f>+IF(Z776=[22]Listas!$E$46,[22]Listas!$F$46,IF(Z776=[22]Listas!$E$47,[22]Listas!$F$47,""))</f>
        <v/>
      </c>
      <c r="AB776" s="183" t="str">
        <f t="shared" si="116"/>
        <v/>
      </c>
      <c r="AC776" s="319"/>
      <c r="AD776" s="322"/>
      <c r="AE776" s="323"/>
      <c r="AF776" s="305" t="str">
        <f t="shared" si="109"/>
        <v>Muy baja</v>
      </c>
      <c r="AG776" s="145">
        <f>IF(Y776=[22]Listas!$G$53,AG775-(AG775*AB776),AG775)</f>
        <v>0.14399999999999999</v>
      </c>
      <c r="AH776" s="562"/>
      <c r="AI776" s="305" t="str">
        <f t="shared" si="110"/>
        <v>Mayor</v>
      </c>
      <c r="AJ776" s="145">
        <f>IF(Y776=[22]Listas!$G$55,AJ775-(AJ775*AB776),AJ775)</f>
        <v>0.8</v>
      </c>
      <c r="AK776" s="562"/>
      <c r="AL776" s="565"/>
      <c r="AM776" s="565"/>
      <c r="AN776" s="565"/>
      <c r="AO776" s="568"/>
      <c r="AP776" s="571"/>
      <c r="AQ776" s="343"/>
      <c r="AR776" s="191"/>
    </row>
    <row r="777" spans="2:44" ht="16" hidden="1" customHeight="1" thickTop="1" thickBot="1" x14ac:dyDescent="0.4">
      <c r="B777" s="537"/>
      <c r="C777" s="560"/>
      <c r="D777" s="610" t="s">
        <v>456</v>
      </c>
      <c r="E777" s="577"/>
      <c r="F777" s="646"/>
      <c r="G777" s="663"/>
      <c r="H777" s="652"/>
      <c r="I777" s="589"/>
      <c r="J777" s="589"/>
      <c r="K777" s="592"/>
      <c r="L777" s="589"/>
      <c r="M777" s="595"/>
      <c r="N777" s="598"/>
      <c r="O777" s="601"/>
      <c r="P777" s="595"/>
      <c r="Q777" s="604"/>
      <c r="R777" s="601"/>
      <c r="S777" s="288"/>
      <c r="T777" s="604"/>
      <c r="U777" s="142" t="s">
        <v>208</v>
      </c>
      <c r="V777" s="418"/>
      <c r="W777" s="331"/>
      <c r="X777" s="320" t="str">
        <f>IF(W777=[22]Listas!$B$46,[22]Listas!$C$46,IF(W777=[22]Listas!$B$47,[22]Listas!$C$47,IF(W777=[22]Listas!$B$48,[22]Listas!$C$48,"")))</f>
        <v/>
      </c>
      <c r="Y777" s="321" t="str">
        <f>IF(OR(W777=[22]Listas!$F$53,W777=[22]Listas!$F$54),[22]Listas!$G$53,IF(W777=[22]Listas!$F$55,[22]Listas!$G$55,""))</f>
        <v/>
      </c>
      <c r="Z777" s="331"/>
      <c r="AA777" s="182" t="str">
        <f>+IF(Z777=[22]Listas!$E$46,[22]Listas!$F$46,IF(Z777=[22]Listas!$E$47,[22]Listas!$F$47,""))</f>
        <v/>
      </c>
      <c r="AB777" s="183" t="str">
        <f t="shared" si="116"/>
        <v/>
      </c>
      <c r="AC777" s="319"/>
      <c r="AD777" s="322"/>
      <c r="AE777" s="323"/>
      <c r="AF777" s="305" t="str">
        <f t="shared" si="109"/>
        <v>Muy baja</v>
      </c>
      <c r="AG777" s="145">
        <f>IF(Y777=[22]Listas!$G$53,AG776-(AG776*AB777),AG776)</f>
        <v>0.14399999999999999</v>
      </c>
      <c r="AH777" s="562"/>
      <c r="AI777" s="305" t="str">
        <f t="shared" si="110"/>
        <v>Mayor</v>
      </c>
      <c r="AJ777" s="145">
        <f>IF(Y777=[22]Listas!$G$55,AJ776-(AJ776*AB777),AJ776)</f>
        <v>0.8</v>
      </c>
      <c r="AK777" s="562"/>
      <c r="AL777" s="565"/>
      <c r="AM777" s="565"/>
      <c r="AN777" s="565"/>
      <c r="AO777" s="568"/>
      <c r="AP777" s="571"/>
      <c r="AQ777" s="343"/>
      <c r="AR777" s="191"/>
    </row>
    <row r="778" spans="2:44" ht="16" hidden="1" customHeight="1" thickTop="1" thickBot="1" x14ac:dyDescent="0.4">
      <c r="B778" s="537"/>
      <c r="C778" s="560"/>
      <c r="D778" s="610" t="s">
        <v>456</v>
      </c>
      <c r="E778" s="577"/>
      <c r="F778" s="646"/>
      <c r="G778" s="663"/>
      <c r="H778" s="652"/>
      <c r="I778" s="589"/>
      <c r="J778" s="589"/>
      <c r="K778" s="592"/>
      <c r="L778" s="589"/>
      <c r="M778" s="595"/>
      <c r="N778" s="598"/>
      <c r="O778" s="601"/>
      <c r="P778" s="595"/>
      <c r="Q778" s="604"/>
      <c r="R778" s="601"/>
      <c r="S778" s="289"/>
      <c r="T778" s="604"/>
      <c r="U778" s="142" t="s">
        <v>215</v>
      </c>
      <c r="V778" s="418"/>
      <c r="W778" s="331"/>
      <c r="X778" s="320" t="str">
        <f>IF(W778=[22]Listas!$B$46,[22]Listas!$C$46,IF(W778=[22]Listas!$B$47,[22]Listas!$C$47,IF(W778=[22]Listas!$B$48,[22]Listas!$C$48,"")))</f>
        <v/>
      </c>
      <c r="Y778" s="321" t="str">
        <f>IF(OR(W778=[22]Listas!$F$53,W778=[22]Listas!$F$54),[22]Listas!$G$53,IF(W778=[22]Listas!$F$55,[22]Listas!$G$55,""))</f>
        <v/>
      </c>
      <c r="Z778" s="331"/>
      <c r="AA778" s="182" t="str">
        <f>+IF(Z778=[22]Listas!$E$46,[22]Listas!$F$46,IF(Z778=[22]Listas!$E$47,[22]Listas!$F$47,""))</f>
        <v/>
      </c>
      <c r="AB778" s="183" t="str">
        <f t="shared" si="116"/>
        <v/>
      </c>
      <c r="AC778" s="319"/>
      <c r="AD778" s="322"/>
      <c r="AE778" s="323"/>
      <c r="AF778" s="305" t="str">
        <f t="shared" si="109"/>
        <v>Muy baja</v>
      </c>
      <c r="AG778" s="145">
        <f>IF(Y778=[22]Listas!$G$53,AG777-(AG777*AB778),AG777)</f>
        <v>0.14399999999999999</v>
      </c>
      <c r="AH778" s="562"/>
      <c r="AI778" s="305" t="str">
        <f t="shared" si="110"/>
        <v>Mayor</v>
      </c>
      <c r="AJ778" s="145">
        <f>IF(Y778=[22]Listas!$G$55,AJ777-(AJ777*AB778),AJ777)</f>
        <v>0.8</v>
      </c>
      <c r="AK778" s="562"/>
      <c r="AL778" s="565"/>
      <c r="AM778" s="565"/>
      <c r="AN778" s="565"/>
      <c r="AO778" s="568"/>
      <c r="AP778" s="571"/>
      <c r="AQ778" s="344"/>
      <c r="AR778" s="191"/>
    </row>
    <row r="779" spans="2:44" ht="16" hidden="1" customHeight="1" thickTop="1" thickBot="1" x14ac:dyDescent="0.4">
      <c r="B779" s="537"/>
      <c r="C779" s="560"/>
      <c r="D779" s="610" t="s">
        <v>456</v>
      </c>
      <c r="E779" s="577"/>
      <c r="F779" s="646"/>
      <c r="G779" s="663"/>
      <c r="H779" s="652"/>
      <c r="I779" s="589"/>
      <c r="J779" s="589"/>
      <c r="K779" s="592"/>
      <c r="L779" s="589"/>
      <c r="M779" s="595"/>
      <c r="N779" s="598"/>
      <c r="O779" s="601"/>
      <c r="P779" s="595"/>
      <c r="Q779" s="604"/>
      <c r="R779" s="601"/>
      <c r="S779" s="289"/>
      <c r="T779" s="604"/>
      <c r="U779" s="142" t="s">
        <v>220</v>
      </c>
      <c r="V779" s="418"/>
      <c r="W779" s="331"/>
      <c r="X779" s="320" t="str">
        <f>IF(W779=[22]Listas!$B$46,[22]Listas!$C$46,IF(W779=[22]Listas!$B$47,[22]Listas!$C$47,IF(W779=[22]Listas!$B$48,[22]Listas!$C$48,"")))</f>
        <v/>
      </c>
      <c r="Y779" s="321" t="str">
        <f>IF(OR(W779=[22]Listas!$F$53,W779=[22]Listas!$F$54),[22]Listas!$G$53,IF(W779=[22]Listas!$F$55,[22]Listas!$G$55,""))</f>
        <v/>
      </c>
      <c r="Z779" s="331"/>
      <c r="AA779" s="182" t="str">
        <f>+IF(Z779=[22]Listas!$E$46,[22]Listas!$F$46,IF(Z779=[22]Listas!$E$47,[22]Listas!$F$47,""))</f>
        <v/>
      </c>
      <c r="AB779" s="183" t="str">
        <f t="shared" si="116"/>
        <v/>
      </c>
      <c r="AC779" s="319"/>
      <c r="AD779" s="322"/>
      <c r="AE779" s="323"/>
      <c r="AF779" s="305" t="str">
        <f t="shared" si="109"/>
        <v>Muy baja</v>
      </c>
      <c r="AG779" s="145">
        <f>IF(Y779=[22]Listas!$G$53,AG778-(AG778*AB779),AG778)</f>
        <v>0.14399999999999999</v>
      </c>
      <c r="AH779" s="562"/>
      <c r="AI779" s="305" t="str">
        <f t="shared" si="110"/>
        <v>Mayor</v>
      </c>
      <c r="AJ779" s="145">
        <f>IF(Y779=[22]Listas!$G$55,AJ778-(AJ778*AB779),AJ778)</f>
        <v>0.8</v>
      </c>
      <c r="AK779" s="562"/>
      <c r="AL779" s="565"/>
      <c r="AM779" s="565"/>
      <c r="AN779" s="565"/>
      <c r="AO779" s="568"/>
      <c r="AP779" s="571"/>
      <c r="AQ779" s="345"/>
      <c r="AR779" s="191"/>
    </row>
    <row r="780" spans="2:44" ht="16" hidden="1" customHeight="1" thickTop="1" thickBot="1" x14ac:dyDescent="0.4">
      <c r="B780" s="537"/>
      <c r="C780" s="560"/>
      <c r="D780" s="610" t="s">
        <v>456</v>
      </c>
      <c r="E780" s="577"/>
      <c r="F780" s="646"/>
      <c r="G780" s="663"/>
      <c r="H780" s="652"/>
      <c r="I780" s="589"/>
      <c r="J780" s="589"/>
      <c r="K780" s="592"/>
      <c r="L780" s="589"/>
      <c r="M780" s="595"/>
      <c r="N780" s="598"/>
      <c r="O780" s="601"/>
      <c r="P780" s="595"/>
      <c r="Q780" s="604"/>
      <c r="R780" s="601"/>
      <c r="S780" s="289"/>
      <c r="T780" s="604"/>
      <c r="U780" s="142" t="s">
        <v>223</v>
      </c>
      <c r="V780" s="418"/>
      <c r="W780" s="331"/>
      <c r="X780" s="320" t="str">
        <f>IF(W780=[22]Listas!$B$46,[22]Listas!$C$46,IF(W780=[22]Listas!$B$47,[22]Listas!$C$47,IF(W780=[22]Listas!$B$48,[22]Listas!$C$48,"")))</f>
        <v/>
      </c>
      <c r="Y780" s="321" t="str">
        <f>IF(OR(W780=[22]Listas!$F$53,W780=[22]Listas!$F$54),[22]Listas!$G$53,IF(W780=[22]Listas!$F$55,[22]Listas!$G$55,""))</f>
        <v/>
      </c>
      <c r="Z780" s="331"/>
      <c r="AA780" s="182" t="str">
        <f>+IF(Z780=[22]Listas!$E$46,[22]Listas!$F$46,IF(Z780=[22]Listas!$E$47,[22]Listas!$F$47,""))</f>
        <v/>
      </c>
      <c r="AB780" s="183" t="str">
        <f t="shared" si="116"/>
        <v/>
      </c>
      <c r="AC780" s="319"/>
      <c r="AD780" s="322"/>
      <c r="AE780" s="323"/>
      <c r="AF780" s="305" t="str">
        <f t="shared" ref="AF780:AF843" si="117">IF(AG780="","",IF(AG780&lt;=20%,"Muy baja",IF(AG780&lt;=40%,"Baja",IF(AG780&lt;=60%,"Media",IF(AG780&lt;=80%,"Alta","Muy alta")))))</f>
        <v>Muy baja</v>
      </c>
      <c r="AG780" s="145">
        <f>IF(Y780=[22]Listas!$G$53,AG779-(AG779*AB780),AG779)</f>
        <v>0.14399999999999999</v>
      </c>
      <c r="AH780" s="562"/>
      <c r="AI780" s="305" t="str">
        <f t="shared" si="110"/>
        <v>Mayor</v>
      </c>
      <c r="AJ780" s="145">
        <f>IF(Y780=[22]Listas!$G$55,AJ779-(AJ779*AB780),AJ779)</f>
        <v>0.8</v>
      </c>
      <c r="AK780" s="562"/>
      <c r="AL780" s="565"/>
      <c r="AM780" s="565"/>
      <c r="AN780" s="565"/>
      <c r="AO780" s="568"/>
      <c r="AP780" s="571"/>
      <c r="AQ780" s="345"/>
      <c r="AR780" s="191"/>
    </row>
    <row r="781" spans="2:44" ht="16" hidden="1" customHeight="1" thickTop="1" thickBot="1" x14ac:dyDescent="0.4">
      <c r="B781" s="537"/>
      <c r="C781" s="560"/>
      <c r="D781" s="611" t="s">
        <v>456</v>
      </c>
      <c r="E781" s="578"/>
      <c r="F781" s="647"/>
      <c r="G781" s="664"/>
      <c r="H781" s="653"/>
      <c r="I781" s="590"/>
      <c r="J781" s="590"/>
      <c r="K781" s="593"/>
      <c r="L781" s="590"/>
      <c r="M781" s="596"/>
      <c r="N781" s="599"/>
      <c r="O781" s="602"/>
      <c r="P781" s="596"/>
      <c r="Q781" s="605"/>
      <c r="R781" s="602"/>
      <c r="S781" s="293"/>
      <c r="T781" s="605"/>
      <c r="U781" s="202" t="s">
        <v>224</v>
      </c>
      <c r="V781" s="416"/>
      <c r="W781" s="335"/>
      <c r="X781" s="336" t="str">
        <f>IF(W781=[22]Listas!$B$46,[22]Listas!$C$46,IF(W781=[22]Listas!$B$47,[22]Listas!$C$47,IF(W781=[22]Listas!$B$48,[22]Listas!$C$48,"")))</f>
        <v/>
      </c>
      <c r="Y781" s="337" t="str">
        <f>IF(OR(W781=[22]Listas!$F$53,W781=[22]Listas!$F$54),[22]Listas!$G$53,IF(W781=[22]Listas!$F$55,[22]Listas!$G$55,""))</f>
        <v/>
      </c>
      <c r="Z781" s="335"/>
      <c r="AA781" s="186" t="str">
        <f>+IF(Z781=[22]Listas!$E$46,[22]Listas!$F$46,IF(Z781=[22]Listas!$E$47,[22]Listas!$F$47,""))</f>
        <v/>
      </c>
      <c r="AB781" s="187" t="str">
        <f t="shared" si="116"/>
        <v/>
      </c>
      <c r="AC781" s="338"/>
      <c r="AD781" s="339"/>
      <c r="AE781" s="340"/>
      <c r="AF781" s="311" t="str">
        <f t="shared" si="117"/>
        <v>Muy baja</v>
      </c>
      <c r="AG781" s="179">
        <f>IF(Y781=[22]Listas!$G$53,AG780-(AG780*AB781),AG780)</f>
        <v>0.14399999999999999</v>
      </c>
      <c r="AH781" s="563"/>
      <c r="AI781" s="311" t="str">
        <f t="shared" si="110"/>
        <v>Mayor</v>
      </c>
      <c r="AJ781" s="179">
        <f>IF(Y781=[22]Listas!$G$55,AJ780-(AJ780*AB781),AJ780)</f>
        <v>0.8</v>
      </c>
      <c r="AK781" s="563"/>
      <c r="AL781" s="566"/>
      <c r="AM781" s="566"/>
      <c r="AN781" s="566"/>
      <c r="AO781" s="569"/>
      <c r="AP781" s="572"/>
      <c r="AQ781" s="346"/>
      <c r="AR781" s="192"/>
    </row>
    <row r="782" spans="2:44" ht="145.5" customHeight="1" thickTop="1" thickBot="1" x14ac:dyDescent="0.35">
      <c r="B782" s="537"/>
      <c r="C782" s="560"/>
      <c r="D782" s="609" t="s">
        <v>903</v>
      </c>
      <c r="E782" s="576" t="s">
        <v>3</v>
      </c>
      <c r="F782" s="645" t="s">
        <v>904</v>
      </c>
      <c r="G782" s="662" t="s">
        <v>905</v>
      </c>
      <c r="H782" s="651" t="s">
        <v>906</v>
      </c>
      <c r="I782" s="588" t="s">
        <v>23</v>
      </c>
      <c r="J782" s="588" t="s">
        <v>29</v>
      </c>
      <c r="K782" s="591" t="s">
        <v>907</v>
      </c>
      <c r="L782" s="588" t="s">
        <v>168</v>
      </c>
      <c r="M782" s="594" t="s">
        <v>207</v>
      </c>
      <c r="N782" s="597" t="str">
        <f>+IF(M782="","",IF(M782=$BO$15,$BN$15,IF(M782=$BO$16,$BN$16,IF(M782=$BO$17,$BN$17,IF(M782=$BO$18,$BN$18,IF(M782=$BO$19,$BN$19))))))</f>
        <v>Baja</v>
      </c>
      <c r="O782" s="600">
        <f>+IF(M782="","",IF(M782=$BO$15,$BR$15,IF(M782=$BO$16,$BR$16,IF(M782=$BO$17,$BR$17,IF(M782=$BO$18,$BR$18,IF(M782=$BO$19,$BR$19))))))</f>
        <v>0.4</v>
      </c>
      <c r="P782" s="594" t="s">
        <v>211</v>
      </c>
      <c r="Q782" s="603" t="str">
        <f>+IF(P782="","",IF(P782='[22]Mapa de Calor inherente'!$AF$6,'[22]Mapa de Calor inherente'!$AD$6,IF(P782='[22]Mapa de Calor inherente'!$AF$7,'[22]Mapa de Calor inherente'!$AD$7,IF(P782='[22]Mapa de Calor inherente'!$AF$8,'[22]Mapa de Calor inherente'!$AD$8,IF(P782='[22]Mapa de Calor inherente'!$AF$9,'[22]Mapa de Calor inherente'!$AD$9,IF(P782='[22]Mapa de Calor inherente'!$AF$10,'[22]Mapa de Calor inherente'!$AD$10,IF(P782='[22]Mapa de Calor inherente'!$AG$6,'[22]Mapa de Calor inherente'!$AD$6,IF(P782='[22]Mapa de Calor inherente'!$AG$7,'[22]Mapa de Calor inherente'!$AD$7,IF(P782='[22]Mapa de Calor inherente'!$AG$8,'[22]Mapa de Calor inherente'!$AD$8,IF(P782='[22]Mapa de Calor inherente'!$AG$9,'[22]Mapa de Calor inherente'!$AD$9,IF(P782='[22]Mapa de Calor inherente'!$AG$10,'[22]Mapa de Calor inherente'!$AD$10,IF(P782='[22]Mapa de Calor inherente'!$AD$8,'[22]Mapa de Calor inherente'!$AD$8,IF(P782='[22]Mapa de Calor inherente'!$AD$9,'[22]Mapa de Calor inherente'!$AD$9,IF(P782='[22]Mapa de Calor inherente'!$AD$10,'[22]Mapa de Calor inherente'!$AD$10))))))))))))))</f>
        <v>Moderado</v>
      </c>
      <c r="R782" s="600">
        <f>+IF(P782="","",IF(P782='[22]Mapa de Calor inherente'!$AF$6,'[22]Mapa de Calor inherente'!$AE$6,IF(P782='[22]Mapa de Calor inherente'!$AF$7,'[22]Mapa de Calor inherente'!$AE$7,IF(P782='[22]Mapa de Calor inherente'!$AF$8,'[22]Mapa de Calor inherente'!$AE$8,IF(P782='[22]Mapa de Calor inherente'!$AF$9,'[22]Mapa de Calor inherente'!$AE$9,IF(P782='[22]Mapa de Calor inherente'!$AF$10,'[22]Mapa de Calor inherente'!$AE$10,IF(P782='[22]Mapa de Calor inherente'!$AG$6,'[22]Mapa de Calor inherente'!$AE$6,IF(P782='[22]Mapa de Calor inherente'!$AG$7,'[22]Mapa de Calor inherente'!$AE$7,IF(P782='[22]Mapa de Calor inherente'!$AG$8,'[22]Mapa de Calor inherente'!$AE$8,IF(P782='[22]Mapa de Calor inherente'!$AG$9,'[22]Mapa de Calor inherente'!$AE$9,IF(P782='[22]Mapa de Calor inherente'!$AG$10,'[22]Mapa de Calor inherente'!$AE$10,IF(P782='[22]Mapa de Calor inherente'!$AD$8,'[22]Mapa de Calor inherente'!$AE$8,IF(P782='[22]Mapa de Calor inherente'!$AD$9,'[22]Mapa de Calor inherente'!$AE$9,IF(P782='[22]Mapa de Calor inherente'!$AD$10,'[22]Mapa de Calor inherente'!$AE$10))))))))))))))</f>
        <v>0.6</v>
      </c>
      <c r="S782" s="292" t="e">
        <f>IF(N782="","",IF(R782="","",(N782*R782)))</f>
        <v>#VALUE!</v>
      </c>
      <c r="T782" s="603" t="str">
        <f>+IF(N782=$BB$17,IF(Q782=$BC$16,$BC$17,IF(Q782=$BD$16,$BD$17,IF(Q782=$BE$16,$BE$17,IF(Q782=$BF$16,$BF$17,IF(Q782=$BG$16,$BG$17))))),IF(N782=$BB$18,IF(Q782=$BC$16,$BC$18,IF(Q782=$BD$16,$BD$18,IF(Q782=$BE$16,$BE$18,IF(Q782=$BF$16,$BF$18,IF(Q782=$BG$16,$BG$18))))),IF(N782=$BB$19,IF(Q782=$BC$16,$BC$19,IF(Q782=$BD$16,$BD$19,IF(Q782=$BE$16,$BE$19,IF(Q782=$BF$16,$BF$19,IF(Q782=$BG$16,$BG$19))))),IF(N782=$BB$20,IF(Q782=$BC$16,$BC$20,IF(Q782=$BD$16,$BD$20,IF(Q782=$BE$16,$BE$20,IF(Q782=$BF$16,$BF$20,IF(Q782=$BG$16,$BG$20))))),IF(N782=$BB$21,IF(Q782=$BC$16,$BC$21,IF(Q782=$BD$16,$BD$21,IF(Q782=$BE$16,$BE$21,IF(Q782=$BF$16,$BF$21,IF(Q782=$BG$16,$BG$21))))),"")))))</f>
        <v>Moderado</v>
      </c>
      <c r="U782" s="241" t="s">
        <v>171</v>
      </c>
      <c r="V782" s="510" t="s">
        <v>908</v>
      </c>
      <c r="W782" s="313" t="s">
        <v>40</v>
      </c>
      <c r="X782" s="314">
        <f>IF(W782=[22]Listas!$B$46,[22]Listas!$C$46,IF(W782=[22]Listas!$B$47,[22]Listas!$C$47,IF(W782=[22]Listas!$B$48,[22]Listas!$C$48,"")))</f>
        <v>0.25</v>
      </c>
      <c r="Y782" s="315" t="str">
        <f>IF(OR(W782=[22]Listas!$F$53,W782=[22]Listas!$F$54),[22]Listas!$G$53,IF(W782=[22]Listas!$F$55,[22]Listas!$G$55,""))</f>
        <v>Probabilidad</v>
      </c>
      <c r="Z782" s="313" t="s">
        <v>43</v>
      </c>
      <c r="AA782" s="314">
        <f>+IF(Z782=[22]Listas!$E$46,[22]Listas!$F$46,IF(Z782=[22]Listas!$E$47,[22]Listas!$F$47,""))</f>
        <v>0.15</v>
      </c>
      <c r="AB782" s="181">
        <f>IFERROR(X782+AA782,"")</f>
        <v>0.4</v>
      </c>
      <c r="AC782" s="313" t="s">
        <v>57</v>
      </c>
      <c r="AD782" s="316" t="s">
        <v>58</v>
      </c>
      <c r="AE782" s="317" t="s">
        <v>59</v>
      </c>
      <c r="AF782" s="299" t="str">
        <f t="shared" si="117"/>
        <v>Baja</v>
      </c>
      <c r="AG782" s="141">
        <f>IF(Y782=[22]Listas!$G$53,O782-(O782*AB782),O782)</f>
        <v>0.24</v>
      </c>
      <c r="AH782" s="561">
        <f>+IF(AG791="","",AG791)</f>
        <v>0.24</v>
      </c>
      <c r="AI782" s="299" t="str">
        <f>IF(AJ782="","",IF(AJ782&lt;=20%,"Leve",IF(AJ782&lt;=40%,"Menor",IF(AJ782&lt;=60%,"Moderado",IF(AJ782&lt;=80%,"Mayor","Catastrófico")))))</f>
        <v>Moderado</v>
      </c>
      <c r="AJ782" s="141">
        <f>IF(Y782=[22]Listas!$G$55,R782-(R782*AB782),R782)</f>
        <v>0.6</v>
      </c>
      <c r="AK782" s="561">
        <f>+IF(AJ791="","",AJ791)</f>
        <v>0.6</v>
      </c>
      <c r="AL782" s="564" t="str">
        <f>+IF(AH782=0,"",IF(AH782&lt;=$BA$21,$BB$21,IF(AH782&lt;=$BA$20,$BB$20,IF(AH782&lt;=$BA$19,$BB$19,IF(AH782&lt;=$BA$18,$BB$18,IF(AH782&lt;=$BA$17,$BB$17,""))))))</f>
        <v>Baja</v>
      </c>
      <c r="AM782" s="564" t="str">
        <f>+IF(AK782=0,"",IF(AK782&lt;=$BC$15,$BC$16,IF(AK782&lt;=$BD$15,$BD$16,IF(AK782&lt;=$BE$15,$BE$16,IF(AK782&lt;=$BF$15,$BF$16,IF(AK782&lt;=$BG$15,$BG$16,""))))))</f>
        <v>Moderado</v>
      </c>
      <c r="AN782" s="564" t="str">
        <f>IF(AL782=$BB$17,IF(AM782=$BC$16,$BC$17,IF(AM782=$BD$16,$BD$17,IF(AM782=$BE$16,$BE$17,IF(AM782=$BF$16,$BF$17,IF(AM782=$BG$16,$BG$17))))),IF(AL782=$BB$18,IF(AM782=$BC$16,$BC$18,IF(AM782=$BD$16,$BD$18,IF(AM782=$BE$16,$BE$18,IF(AM782=$BF$16,$BF$18,IF(AM782=$BG$16,$BG$18))))),IF(AL782=$BB$19,IF(AM782=$BC$16,$BC$19,IF(AM782=$BD$16,$BD$19,IF(AM782=$BE$16,$BE$19,IF(AM782=$BF$16,$BF$19,IF(AM782=$BG$16,$BG$19))))),IF(AL782=$BB$20,IF(AM782=$BC$16,$BC$20,IF(AM782=$BD$16,$BD$20,IF(AM782=$BE$16,$BE$20,IF(AM782=$BF$16,$BF$20,IF(AM782=$BG$16,$BG$20))))),IF(AL782=$BB$21,IF(AM782=$BC$16,$BC$21,IF(AM782=$BD$16,$BD$21,IF(AM782=$BE$16,$BE$21,IF(AM782=$BF$16,$BF$21,IF(AM782=$BG$16,$BG$21))))),"")))))</f>
        <v>Moderado</v>
      </c>
      <c r="AO782" s="567" t="str">
        <f>IF(AP782="","",IF(AP782=[22]Listas!$F$61,[22]Listas!$G$61,IF(AP782=[22]Listas!$F$63,[22]Listas!$G$63,IF(AP782=[22]Listas!$F$64,[22]Listas!$G$64))))</f>
        <v>Requiere Plan de Acción</v>
      </c>
      <c r="AP782" s="570" t="str">
        <f>IF(AN782="","",IF(OR(AN782=[22]Listas!$E$61,AN782=[22]Listas!$E$62),[22]Listas!$F$61,IF(AN782=[22]Listas!$E$63,[22]Listas!$F$63,IF(AN782=[22]Listas!$E$64,[22]Listas!$F$64))))</f>
        <v>Aceptar o reducir el riesgo</v>
      </c>
      <c r="AQ782" s="358" t="s">
        <v>90</v>
      </c>
      <c r="AR782" s="412" t="s">
        <v>856</v>
      </c>
    </row>
    <row r="783" spans="2:44" ht="15.65" hidden="1" customHeight="1" thickTop="1" thickBot="1" x14ac:dyDescent="0.4">
      <c r="B783" s="537"/>
      <c r="C783" s="560"/>
      <c r="D783" s="610" t="s">
        <v>909</v>
      </c>
      <c r="E783" s="577"/>
      <c r="F783" s="646"/>
      <c r="G783" s="663"/>
      <c r="H783" s="652"/>
      <c r="I783" s="589"/>
      <c r="J783" s="589"/>
      <c r="K783" s="592"/>
      <c r="L783" s="589"/>
      <c r="M783" s="595"/>
      <c r="N783" s="598"/>
      <c r="O783" s="601"/>
      <c r="P783" s="595"/>
      <c r="Q783" s="604"/>
      <c r="R783" s="601"/>
      <c r="S783" s="286"/>
      <c r="T783" s="604"/>
      <c r="U783" s="142" t="s">
        <v>174</v>
      </c>
      <c r="V783" s="445"/>
      <c r="W783" s="319"/>
      <c r="X783" s="320" t="str">
        <f>IF(W783=[22]Listas!$B$46,[22]Listas!$C$46,IF(W783=[22]Listas!$B$47,[22]Listas!$C$47,IF(W783=[22]Listas!$B$48,[22]Listas!$C$48,"")))</f>
        <v/>
      </c>
      <c r="Y783" s="321" t="str">
        <f>IF(OR(W783=[22]Listas!$F$53,W783=[22]Listas!$F$54),[22]Listas!$G$53,IF(W783=[22]Listas!$F$55,[22]Listas!$G$55,""))</f>
        <v/>
      </c>
      <c r="Z783" s="319"/>
      <c r="AA783" s="182" t="str">
        <f>+IF(Z783=[22]Listas!$E$46,[22]Listas!$F$46,IF(Z783=[22]Listas!$E$47,[22]Listas!$F$47,""))</f>
        <v/>
      </c>
      <c r="AB783" s="183" t="str">
        <f>IFERROR(X783+AA783,"")</f>
        <v/>
      </c>
      <c r="AC783" s="319"/>
      <c r="AD783" s="322"/>
      <c r="AE783" s="323"/>
      <c r="AF783" s="305" t="str">
        <f t="shared" si="117"/>
        <v>Baja</v>
      </c>
      <c r="AG783" s="145">
        <f>IF(Y783=[22]Listas!$G$53,AG782-(AG782*AB783),AG782)</f>
        <v>0.24</v>
      </c>
      <c r="AH783" s="562"/>
      <c r="AI783" s="305" t="str">
        <f t="shared" ref="AI783:AI791" si="118">IF(AJ783="","",IF(AJ783&lt;=20%,"Leve",IF(AJ783&lt;=40%,"Menor",IF(AJ783&lt;=60%,"Moderado",IF(AJ783&lt;=80%,"Mayor","Catastrófico")))))</f>
        <v>Moderado</v>
      </c>
      <c r="AJ783" s="145">
        <f>IF(Y783=[22]Listas!$G$55,AJ782-(AJ782*AB783),AJ782)</f>
        <v>0.6</v>
      </c>
      <c r="AK783" s="562"/>
      <c r="AL783" s="565"/>
      <c r="AM783" s="565"/>
      <c r="AN783" s="565"/>
      <c r="AO783" s="568"/>
      <c r="AP783" s="571"/>
      <c r="AQ783" s="343"/>
      <c r="AR783" s="199"/>
    </row>
    <row r="784" spans="2:44" ht="15.75" hidden="1" customHeight="1" thickTop="1" thickBot="1" x14ac:dyDescent="0.4">
      <c r="B784" s="537"/>
      <c r="C784" s="560"/>
      <c r="D784" s="610" t="s">
        <v>909</v>
      </c>
      <c r="E784" s="577"/>
      <c r="F784" s="646"/>
      <c r="G784" s="663"/>
      <c r="H784" s="652"/>
      <c r="I784" s="589"/>
      <c r="J784" s="589"/>
      <c r="K784" s="592"/>
      <c r="L784" s="589"/>
      <c r="M784" s="595"/>
      <c r="N784" s="598"/>
      <c r="O784" s="601"/>
      <c r="P784" s="595"/>
      <c r="Q784" s="604"/>
      <c r="R784" s="601"/>
      <c r="S784" s="287"/>
      <c r="T784" s="604"/>
      <c r="U784" s="142" t="s">
        <v>180</v>
      </c>
      <c r="V784" s="418"/>
      <c r="W784" s="331"/>
      <c r="X784" s="320" t="str">
        <f>IF(W784=[22]Listas!$B$46,[22]Listas!$C$46,IF(W784=[22]Listas!$B$47,[22]Listas!$C$47,IF(W784=[22]Listas!$B$48,[22]Listas!$C$48,"")))</f>
        <v/>
      </c>
      <c r="Y784" s="321" t="str">
        <f>IF(OR(W784=[22]Listas!$F$53,W784=[22]Listas!$F$54),[22]Listas!$G$53,IF(W784=[22]Listas!$F$55,[22]Listas!$G$55,""))</f>
        <v/>
      </c>
      <c r="Z784" s="319"/>
      <c r="AA784" s="182" t="str">
        <f>+IF(Z784=[22]Listas!$E$46,[22]Listas!$F$46,IF(Z784=[22]Listas!$E$47,[22]Listas!$F$47,""))</f>
        <v/>
      </c>
      <c r="AB784" s="183" t="str">
        <f>IFERROR(X784+AA784,"")</f>
        <v/>
      </c>
      <c r="AC784" s="325"/>
      <c r="AD784" s="326"/>
      <c r="AE784" s="327"/>
      <c r="AF784" s="305" t="str">
        <f t="shared" si="117"/>
        <v>Baja</v>
      </c>
      <c r="AG784" s="145">
        <f>IF(Y784=[22]Listas!$G$53,AG783-(AG783*AB784),AG783)</f>
        <v>0.24</v>
      </c>
      <c r="AH784" s="562"/>
      <c r="AI784" s="305" t="str">
        <f t="shared" si="118"/>
        <v>Moderado</v>
      </c>
      <c r="AJ784" s="145">
        <f>IF(Y784=[22]Listas!$G$55,AJ783-(AJ783*AB784),AJ783)</f>
        <v>0.6</v>
      </c>
      <c r="AK784" s="562"/>
      <c r="AL784" s="565"/>
      <c r="AM784" s="565"/>
      <c r="AN784" s="565"/>
      <c r="AO784" s="568"/>
      <c r="AP784" s="571"/>
      <c r="AQ784" s="343"/>
      <c r="AR784" s="191"/>
    </row>
    <row r="785" spans="2:44" ht="15.75" hidden="1" customHeight="1" thickTop="1" thickBot="1" x14ac:dyDescent="0.4">
      <c r="B785" s="537"/>
      <c r="C785" s="560"/>
      <c r="D785" s="610" t="s">
        <v>909</v>
      </c>
      <c r="E785" s="577"/>
      <c r="F785" s="646"/>
      <c r="G785" s="663"/>
      <c r="H785" s="652"/>
      <c r="I785" s="589"/>
      <c r="J785" s="589"/>
      <c r="K785" s="592"/>
      <c r="L785" s="589"/>
      <c r="M785" s="595"/>
      <c r="N785" s="598"/>
      <c r="O785" s="601"/>
      <c r="P785" s="595"/>
      <c r="Q785" s="604"/>
      <c r="R785" s="601"/>
      <c r="S785" s="287"/>
      <c r="T785" s="604"/>
      <c r="U785" s="142" t="s">
        <v>190</v>
      </c>
      <c r="V785" s="418"/>
      <c r="W785" s="319"/>
      <c r="X785" s="320" t="str">
        <f>IF(W785=[22]Listas!$B$46,[22]Listas!$C$46,IF(W785=[22]Listas!$B$47,[22]Listas!$C$47,IF(W785=[22]Listas!$B$48,[22]Listas!$C$48,"")))</f>
        <v/>
      </c>
      <c r="Y785" s="321" t="str">
        <f>IF(OR(W785=[22]Listas!$F$53,W785=[22]Listas!$F$54),[22]Listas!$G$53,IF(W785=[22]Listas!$F$55,[22]Listas!$G$55,""))</f>
        <v/>
      </c>
      <c r="Z785" s="319"/>
      <c r="AA785" s="182" t="str">
        <f>+IF(Z785=[22]Listas!$E$46,[22]Listas!$F$46,IF(Z785=[22]Listas!$E$47,[22]Listas!$F$47,""))</f>
        <v/>
      </c>
      <c r="AB785" s="183" t="str">
        <f t="shared" ref="AB785:AB791" si="119">IFERROR(X785+AA785,"")</f>
        <v/>
      </c>
      <c r="AC785" s="328"/>
      <c r="AD785" s="329"/>
      <c r="AE785" s="330"/>
      <c r="AF785" s="305" t="str">
        <f t="shared" si="117"/>
        <v>Baja</v>
      </c>
      <c r="AG785" s="145">
        <f>IF(Y785=[22]Listas!$G$53,AG784-(AG784*AB785),AG784)</f>
        <v>0.24</v>
      </c>
      <c r="AH785" s="562"/>
      <c r="AI785" s="305" t="str">
        <f t="shared" si="118"/>
        <v>Moderado</v>
      </c>
      <c r="AJ785" s="145">
        <f>IF(Y785=[22]Listas!$G$55,AJ784-(AJ784*AB785),AJ784)</f>
        <v>0.6</v>
      </c>
      <c r="AK785" s="562"/>
      <c r="AL785" s="565"/>
      <c r="AM785" s="565"/>
      <c r="AN785" s="565"/>
      <c r="AO785" s="568"/>
      <c r="AP785" s="571"/>
      <c r="AQ785" s="344"/>
      <c r="AR785" s="191"/>
    </row>
    <row r="786" spans="2:44" ht="15.75" hidden="1" customHeight="1" thickTop="1" thickBot="1" x14ac:dyDescent="0.4">
      <c r="B786" s="537"/>
      <c r="C786" s="560"/>
      <c r="D786" s="610" t="s">
        <v>909</v>
      </c>
      <c r="E786" s="577"/>
      <c r="F786" s="646"/>
      <c r="G786" s="663"/>
      <c r="H786" s="652"/>
      <c r="I786" s="589"/>
      <c r="J786" s="589"/>
      <c r="K786" s="592"/>
      <c r="L786" s="589"/>
      <c r="M786" s="595"/>
      <c r="N786" s="598"/>
      <c r="O786" s="601"/>
      <c r="P786" s="595"/>
      <c r="Q786" s="604"/>
      <c r="R786" s="601"/>
      <c r="S786" s="287"/>
      <c r="T786" s="604"/>
      <c r="U786" s="142" t="s">
        <v>198</v>
      </c>
      <c r="V786" s="418"/>
      <c r="W786" s="331"/>
      <c r="X786" s="320" t="str">
        <f>IF(W786=[22]Listas!$B$46,[22]Listas!$C$46,IF(W786=[22]Listas!$B$47,[22]Listas!$C$47,IF(W786=[22]Listas!$B$48,[22]Listas!$C$48,"")))</f>
        <v/>
      </c>
      <c r="Y786" s="321" t="str">
        <f>IF(OR(W786=[22]Listas!$F$53,W786=[22]Listas!$F$54),[22]Listas!$G$53,IF(W786=[22]Listas!$F$55,[22]Listas!$G$55,""))</f>
        <v/>
      </c>
      <c r="Z786" s="331"/>
      <c r="AA786" s="182" t="str">
        <f>+IF(Z786=[22]Listas!$E$46,[22]Listas!$F$46,IF(Z786=[22]Listas!$E$47,[22]Listas!$F$47,""))</f>
        <v/>
      </c>
      <c r="AB786" s="183" t="str">
        <f t="shared" si="119"/>
        <v/>
      </c>
      <c r="AC786" s="319"/>
      <c r="AD786" s="322"/>
      <c r="AE786" s="323"/>
      <c r="AF786" s="305" t="str">
        <f t="shared" si="117"/>
        <v>Baja</v>
      </c>
      <c r="AG786" s="145">
        <f>IF(Y786=[22]Listas!$G$53,AG785-(AG785*AB786),AG785)</f>
        <v>0.24</v>
      </c>
      <c r="AH786" s="562"/>
      <c r="AI786" s="305" t="str">
        <f t="shared" si="118"/>
        <v>Moderado</v>
      </c>
      <c r="AJ786" s="145">
        <f>IF(Y786=[22]Listas!$G$55,AJ785-(AJ785*AB786),AJ785)</f>
        <v>0.6</v>
      </c>
      <c r="AK786" s="562"/>
      <c r="AL786" s="565"/>
      <c r="AM786" s="565"/>
      <c r="AN786" s="565"/>
      <c r="AO786" s="568"/>
      <c r="AP786" s="571"/>
      <c r="AQ786" s="345"/>
      <c r="AR786" s="191"/>
    </row>
    <row r="787" spans="2:44" ht="15.75" hidden="1" customHeight="1" thickTop="1" thickBot="1" x14ac:dyDescent="0.4">
      <c r="B787" s="537"/>
      <c r="C787" s="560"/>
      <c r="D787" s="610" t="s">
        <v>909</v>
      </c>
      <c r="E787" s="577"/>
      <c r="F787" s="646"/>
      <c r="G787" s="663"/>
      <c r="H787" s="652"/>
      <c r="I787" s="589"/>
      <c r="J787" s="589"/>
      <c r="K787" s="592"/>
      <c r="L787" s="589"/>
      <c r="M787" s="595"/>
      <c r="N787" s="598"/>
      <c r="O787" s="601"/>
      <c r="P787" s="595"/>
      <c r="Q787" s="604"/>
      <c r="R787" s="601"/>
      <c r="S787" s="288"/>
      <c r="T787" s="604"/>
      <c r="U787" s="142" t="s">
        <v>208</v>
      </c>
      <c r="V787" s="418"/>
      <c r="W787" s="331"/>
      <c r="X787" s="320" t="str">
        <f>IF(W787=[22]Listas!$B$46,[22]Listas!$C$46,IF(W787=[22]Listas!$B$47,[22]Listas!$C$47,IF(W787=[22]Listas!$B$48,[22]Listas!$C$48,"")))</f>
        <v/>
      </c>
      <c r="Y787" s="321" t="str">
        <f>IF(OR(W787=[22]Listas!$F$53,W787=[22]Listas!$F$54),[22]Listas!$G$53,IF(W787=[22]Listas!$F$55,[22]Listas!$G$55,""))</f>
        <v/>
      </c>
      <c r="Z787" s="331"/>
      <c r="AA787" s="182" t="str">
        <f>+IF(Z787=[22]Listas!$E$46,[22]Listas!$F$46,IF(Z787=[22]Listas!$E$47,[22]Listas!$F$47,""))</f>
        <v/>
      </c>
      <c r="AB787" s="183" t="str">
        <f t="shared" si="119"/>
        <v/>
      </c>
      <c r="AC787" s="319"/>
      <c r="AD787" s="322"/>
      <c r="AE787" s="323"/>
      <c r="AF787" s="305" t="str">
        <f t="shared" si="117"/>
        <v>Baja</v>
      </c>
      <c r="AG787" s="145">
        <f>IF(Y787=[22]Listas!$G$53,AG786-(AG786*AB787),AG786)</f>
        <v>0.24</v>
      </c>
      <c r="AH787" s="562"/>
      <c r="AI787" s="305" t="str">
        <f t="shared" si="118"/>
        <v>Moderado</v>
      </c>
      <c r="AJ787" s="145">
        <f>IF(Y787=[22]Listas!$G$55,AJ786-(AJ786*AB787),AJ786)</f>
        <v>0.6</v>
      </c>
      <c r="AK787" s="562"/>
      <c r="AL787" s="565"/>
      <c r="AM787" s="565"/>
      <c r="AN787" s="565"/>
      <c r="AO787" s="568"/>
      <c r="AP787" s="571"/>
      <c r="AQ787" s="343"/>
      <c r="AR787" s="191"/>
    </row>
    <row r="788" spans="2:44" ht="15.75" hidden="1" customHeight="1" thickTop="1" thickBot="1" x14ac:dyDescent="0.4">
      <c r="B788" s="537"/>
      <c r="C788" s="560"/>
      <c r="D788" s="610" t="s">
        <v>909</v>
      </c>
      <c r="E788" s="577"/>
      <c r="F788" s="646"/>
      <c r="G788" s="663"/>
      <c r="H788" s="652"/>
      <c r="I788" s="589"/>
      <c r="J788" s="589"/>
      <c r="K788" s="592"/>
      <c r="L788" s="589"/>
      <c r="M788" s="595"/>
      <c r="N788" s="598"/>
      <c r="O788" s="601"/>
      <c r="P788" s="595"/>
      <c r="Q788" s="604"/>
      <c r="R788" s="601"/>
      <c r="S788" s="289"/>
      <c r="T788" s="604"/>
      <c r="U788" s="142" t="s">
        <v>215</v>
      </c>
      <c r="V788" s="418"/>
      <c r="W788" s="331"/>
      <c r="X788" s="320" t="str">
        <f>IF(W788=[22]Listas!$B$46,[22]Listas!$C$46,IF(W788=[22]Listas!$B$47,[22]Listas!$C$47,IF(W788=[22]Listas!$B$48,[22]Listas!$C$48,"")))</f>
        <v/>
      </c>
      <c r="Y788" s="321" t="str">
        <f>IF(OR(W788=[22]Listas!$F$53,W788=[22]Listas!$F$54),[22]Listas!$G$53,IF(W788=[22]Listas!$F$55,[22]Listas!$G$55,""))</f>
        <v/>
      </c>
      <c r="Z788" s="331"/>
      <c r="AA788" s="182" t="str">
        <f>+IF(Z788=[22]Listas!$E$46,[22]Listas!$F$46,IF(Z788=[22]Listas!$E$47,[22]Listas!$F$47,""))</f>
        <v/>
      </c>
      <c r="AB788" s="183" t="str">
        <f t="shared" si="119"/>
        <v/>
      </c>
      <c r="AC788" s="319"/>
      <c r="AD788" s="322"/>
      <c r="AE788" s="323"/>
      <c r="AF788" s="305" t="str">
        <f t="shared" si="117"/>
        <v>Baja</v>
      </c>
      <c r="AG788" s="145">
        <f>IF(Y788=[22]Listas!$G$53,AG787-(AG787*AB788),AG787)</f>
        <v>0.24</v>
      </c>
      <c r="AH788" s="562"/>
      <c r="AI788" s="305" t="str">
        <f t="shared" si="118"/>
        <v>Moderado</v>
      </c>
      <c r="AJ788" s="145">
        <f>IF(Y788=[22]Listas!$G$55,AJ787-(AJ787*AB788),AJ787)</f>
        <v>0.6</v>
      </c>
      <c r="AK788" s="562"/>
      <c r="AL788" s="565"/>
      <c r="AM788" s="565"/>
      <c r="AN788" s="565"/>
      <c r="AO788" s="568"/>
      <c r="AP788" s="571"/>
      <c r="AQ788" s="343"/>
      <c r="AR788" s="191"/>
    </row>
    <row r="789" spans="2:44" ht="15.75" hidden="1" customHeight="1" thickTop="1" thickBot="1" x14ac:dyDescent="0.4">
      <c r="B789" s="537"/>
      <c r="C789" s="560"/>
      <c r="D789" s="610" t="s">
        <v>909</v>
      </c>
      <c r="E789" s="577"/>
      <c r="F789" s="646"/>
      <c r="G789" s="663"/>
      <c r="H789" s="652"/>
      <c r="I789" s="589"/>
      <c r="J789" s="589"/>
      <c r="K789" s="592"/>
      <c r="L789" s="589"/>
      <c r="M789" s="595"/>
      <c r="N789" s="598"/>
      <c r="O789" s="601"/>
      <c r="P789" s="595"/>
      <c r="Q789" s="604"/>
      <c r="R789" s="601"/>
      <c r="S789" s="289"/>
      <c r="T789" s="604"/>
      <c r="U789" s="142" t="s">
        <v>220</v>
      </c>
      <c r="V789" s="418"/>
      <c r="W789" s="331"/>
      <c r="X789" s="320" t="str">
        <f>IF(W789=[22]Listas!$B$46,[22]Listas!$C$46,IF(W789=[22]Listas!$B$47,[22]Listas!$C$47,IF(W789=[22]Listas!$B$48,[22]Listas!$C$48,"")))</f>
        <v/>
      </c>
      <c r="Y789" s="321" t="str">
        <f>IF(OR(W789=[22]Listas!$F$53,W789=[22]Listas!$F$54),[22]Listas!$G$53,IF(W789=[22]Listas!$F$55,[22]Listas!$G$55,""))</f>
        <v/>
      </c>
      <c r="Z789" s="331"/>
      <c r="AA789" s="182" t="str">
        <f>+IF(Z789=[22]Listas!$E$46,[22]Listas!$F$46,IF(Z789=[22]Listas!$E$47,[22]Listas!$F$47,""))</f>
        <v/>
      </c>
      <c r="AB789" s="183" t="str">
        <f t="shared" si="119"/>
        <v/>
      </c>
      <c r="AC789" s="319"/>
      <c r="AD789" s="322"/>
      <c r="AE789" s="323"/>
      <c r="AF789" s="305" t="str">
        <f t="shared" si="117"/>
        <v>Baja</v>
      </c>
      <c r="AG789" s="145">
        <f>IF(Y789=[22]Listas!$G$53,AG788-(AG788*AB789),AG788)</f>
        <v>0.24</v>
      </c>
      <c r="AH789" s="562"/>
      <c r="AI789" s="305" t="str">
        <f t="shared" si="118"/>
        <v>Moderado</v>
      </c>
      <c r="AJ789" s="145">
        <f>IF(Y789=[22]Listas!$G$55,AJ788-(AJ788*AB789),AJ788)</f>
        <v>0.6</v>
      </c>
      <c r="AK789" s="562"/>
      <c r="AL789" s="565"/>
      <c r="AM789" s="565"/>
      <c r="AN789" s="565"/>
      <c r="AO789" s="568"/>
      <c r="AP789" s="571"/>
      <c r="AQ789" s="344"/>
      <c r="AR789" s="191"/>
    </row>
    <row r="790" spans="2:44" ht="15.75" hidden="1" customHeight="1" thickTop="1" thickBot="1" x14ac:dyDescent="0.4">
      <c r="B790" s="537"/>
      <c r="C790" s="560"/>
      <c r="D790" s="610" t="s">
        <v>909</v>
      </c>
      <c r="E790" s="577"/>
      <c r="F790" s="646"/>
      <c r="G790" s="663"/>
      <c r="H790" s="652"/>
      <c r="I790" s="589"/>
      <c r="J790" s="589"/>
      <c r="K790" s="592"/>
      <c r="L790" s="589"/>
      <c r="M790" s="595"/>
      <c r="N790" s="598"/>
      <c r="O790" s="601"/>
      <c r="P790" s="595"/>
      <c r="Q790" s="604"/>
      <c r="R790" s="601"/>
      <c r="S790" s="289"/>
      <c r="T790" s="604"/>
      <c r="U790" s="142" t="s">
        <v>223</v>
      </c>
      <c r="V790" s="418"/>
      <c r="W790" s="331"/>
      <c r="X790" s="320" t="str">
        <f>IF(W790=[22]Listas!$B$46,[22]Listas!$C$46,IF(W790=[22]Listas!$B$47,[22]Listas!$C$47,IF(W790=[22]Listas!$B$48,[22]Listas!$C$48,"")))</f>
        <v/>
      </c>
      <c r="Y790" s="321" t="str">
        <f>IF(OR(W790=[22]Listas!$F$53,W790=[22]Listas!$F$54),[22]Listas!$G$53,IF(W790=[22]Listas!$F$55,[22]Listas!$G$55,""))</f>
        <v/>
      </c>
      <c r="Z790" s="331"/>
      <c r="AA790" s="182" t="str">
        <f>+IF(Z790=[22]Listas!$E$46,[22]Listas!$F$46,IF(Z790=[22]Listas!$E$47,[22]Listas!$F$47,""))</f>
        <v/>
      </c>
      <c r="AB790" s="183" t="str">
        <f t="shared" si="119"/>
        <v/>
      </c>
      <c r="AC790" s="319"/>
      <c r="AD790" s="322"/>
      <c r="AE790" s="323"/>
      <c r="AF790" s="305" t="str">
        <f t="shared" si="117"/>
        <v>Baja</v>
      </c>
      <c r="AG790" s="145">
        <f>IF(Y790=[22]Listas!$G$53,AG789-(AG789*AB790),AG789)</f>
        <v>0.24</v>
      </c>
      <c r="AH790" s="562"/>
      <c r="AI790" s="305" t="str">
        <f t="shared" si="118"/>
        <v>Moderado</v>
      </c>
      <c r="AJ790" s="145">
        <f>IF(Y790=[22]Listas!$G$55,AJ789-(AJ789*AB790),AJ789)</f>
        <v>0.6</v>
      </c>
      <c r="AK790" s="562"/>
      <c r="AL790" s="565"/>
      <c r="AM790" s="565"/>
      <c r="AN790" s="565"/>
      <c r="AO790" s="568"/>
      <c r="AP790" s="571"/>
      <c r="AQ790" s="343"/>
      <c r="AR790" s="191"/>
    </row>
    <row r="791" spans="2:44" ht="15.75" hidden="1" customHeight="1" thickTop="1" thickBot="1" x14ac:dyDescent="0.4">
      <c r="B791" s="537"/>
      <c r="C791" s="560"/>
      <c r="D791" s="611" t="s">
        <v>909</v>
      </c>
      <c r="E791" s="578"/>
      <c r="F791" s="647"/>
      <c r="G791" s="664"/>
      <c r="H791" s="653"/>
      <c r="I791" s="590"/>
      <c r="J791" s="590"/>
      <c r="K791" s="593"/>
      <c r="L791" s="590"/>
      <c r="M791" s="596"/>
      <c r="N791" s="599"/>
      <c r="O791" s="602"/>
      <c r="P791" s="596"/>
      <c r="Q791" s="605"/>
      <c r="R791" s="602"/>
      <c r="S791" s="293"/>
      <c r="T791" s="605"/>
      <c r="U791" s="202" t="s">
        <v>224</v>
      </c>
      <c r="V791" s="416"/>
      <c r="W791" s="335"/>
      <c r="X791" s="336" t="str">
        <f>IF(W791=[22]Listas!$B$46,[22]Listas!$C$46,IF(W791=[22]Listas!$B$47,[22]Listas!$C$47,IF(W791=[22]Listas!$B$48,[22]Listas!$C$48,"")))</f>
        <v/>
      </c>
      <c r="Y791" s="337" t="str">
        <f>IF(OR(W791=[22]Listas!$F$53,W791=[22]Listas!$F$54),[22]Listas!$G$53,IF(W791=[22]Listas!$F$55,[22]Listas!$G$55,""))</f>
        <v/>
      </c>
      <c r="Z791" s="335"/>
      <c r="AA791" s="186" t="str">
        <f>+IF(Z791=[22]Listas!$E$46,[22]Listas!$F$46,IF(Z791=[22]Listas!$E$47,[22]Listas!$F$47,""))</f>
        <v/>
      </c>
      <c r="AB791" s="187" t="str">
        <f t="shared" si="119"/>
        <v/>
      </c>
      <c r="AC791" s="338"/>
      <c r="AD791" s="339"/>
      <c r="AE791" s="340"/>
      <c r="AF791" s="311" t="str">
        <f t="shared" si="117"/>
        <v>Baja</v>
      </c>
      <c r="AG791" s="179">
        <f>IF(Y791=[22]Listas!$G$53,AG790-(AG790*AB791),AG790)</f>
        <v>0.24</v>
      </c>
      <c r="AH791" s="563"/>
      <c r="AI791" s="311" t="str">
        <f t="shared" si="118"/>
        <v>Moderado</v>
      </c>
      <c r="AJ791" s="179">
        <f>IF(Y791=[22]Listas!$G$55,AJ790-(AJ790*AB791),AJ790)</f>
        <v>0.6</v>
      </c>
      <c r="AK791" s="563"/>
      <c r="AL791" s="566"/>
      <c r="AM791" s="566"/>
      <c r="AN791" s="566"/>
      <c r="AO791" s="569"/>
      <c r="AP791" s="572"/>
      <c r="AQ791" s="359"/>
      <c r="AR791" s="192"/>
    </row>
    <row r="792" spans="2:44" ht="127" thickTop="1" thickBot="1" x14ac:dyDescent="0.35">
      <c r="B792" s="537"/>
      <c r="C792" s="560"/>
      <c r="D792" s="609" t="s">
        <v>910</v>
      </c>
      <c r="E792" s="576" t="s">
        <v>3</v>
      </c>
      <c r="F792" s="645" t="s">
        <v>911</v>
      </c>
      <c r="G792" s="674" t="s">
        <v>912</v>
      </c>
      <c r="H792" s="680" t="s">
        <v>913</v>
      </c>
      <c r="I792" s="588" t="s">
        <v>23</v>
      </c>
      <c r="J792" s="588" t="s">
        <v>29</v>
      </c>
      <c r="K792" s="591" t="s">
        <v>914</v>
      </c>
      <c r="L792" s="588" t="s">
        <v>168</v>
      </c>
      <c r="M792" s="594" t="s">
        <v>214</v>
      </c>
      <c r="N792" s="597" t="str">
        <f>+IF(M792="","",IF(M792=$BO$15,$BN$15,IF(M792=$BO$16,$BN$16,IF(M792=$BO$17,$BN$17,IF(M792=$BO$18,$BN$18,IF(M792=$BO$19,$BN$19))))))</f>
        <v>Media</v>
      </c>
      <c r="O792" s="600">
        <f>+IF(M792="","",IF(M792=$BO$15,$BR$15,IF(M792=$BO$16,$BR$16,IF(M792=$BO$17,$BR$17,IF(M792=$BO$18,$BR$18,IF(M792=$BO$19,$BR$19))))))</f>
        <v>0.6</v>
      </c>
      <c r="P792" s="594" t="s">
        <v>211</v>
      </c>
      <c r="Q792" s="603" t="str">
        <f>+IF(P792="","",IF(P792='[22]Mapa de Calor inherente'!$AF$6,'[22]Mapa de Calor inherente'!$AD$6,IF(P792='[22]Mapa de Calor inherente'!$AF$7,'[22]Mapa de Calor inherente'!$AD$7,IF(P792='[22]Mapa de Calor inherente'!$AF$8,'[22]Mapa de Calor inherente'!$AD$8,IF(P792='[22]Mapa de Calor inherente'!$AF$9,'[22]Mapa de Calor inherente'!$AD$9,IF(P792='[22]Mapa de Calor inherente'!$AF$10,'[22]Mapa de Calor inherente'!$AD$10,IF(P792='[22]Mapa de Calor inherente'!$AG$6,'[22]Mapa de Calor inherente'!$AD$6,IF(P792='[22]Mapa de Calor inherente'!$AG$7,'[22]Mapa de Calor inherente'!$AD$7,IF(P792='[22]Mapa de Calor inherente'!$AG$8,'[22]Mapa de Calor inherente'!$AD$8,IF(P792='[22]Mapa de Calor inherente'!$AG$9,'[22]Mapa de Calor inherente'!$AD$9,IF(P792='[22]Mapa de Calor inherente'!$AG$10,'[22]Mapa de Calor inherente'!$AD$10,IF(P792='[22]Mapa de Calor inherente'!$AD$8,'[22]Mapa de Calor inherente'!$AD$8,IF(P792='[22]Mapa de Calor inherente'!$AD$9,'[22]Mapa de Calor inherente'!$AD$9,IF(P792='[22]Mapa de Calor inherente'!$AD$10,'[22]Mapa de Calor inherente'!$AD$10))))))))))))))</f>
        <v>Moderado</v>
      </c>
      <c r="R792" s="600">
        <f>+IF(P792="","",IF(P792='[22]Mapa de Calor inherente'!$AF$6,'[22]Mapa de Calor inherente'!$AE$6,IF(P792='[22]Mapa de Calor inherente'!$AF$7,'[22]Mapa de Calor inherente'!$AE$7,IF(P792='[22]Mapa de Calor inherente'!$AF$8,'[22]Mapa de Calor inherente'!$AE$8,IF(P792='[22]Mapa de Calor inherente'!$AF$9,'[22]Mapa de Calor inherente'!$AE$9,IF(P792='[22]Mapa de Calor inherente'!$AF$10,'[22]Mapa de Calor inherente'!$AE$10,IF(P792='[22]Mapa de Calor inherente'!$AG$6,'[22]Mapa de Calor inherente'!$AE$6,IF(P792='[22]Mapa de Calor inherente'!$AG$7,'[22]Mapa de Calor inherente'!$AE$7,IF(P792='[22]Mapa de Calor inherente'!$AG$8,'[22]Mapa de Calor inherente'!$AE$8,IF(P792='[22]Mapa de Calor inherente'!$AG$9,'[22]Mapa de Calor inherente'!$AE$9,IF(P792='[22]Mapa de Calor inherente'!$AG$10,'[22]Mapa de Calor inherente'!$AE$10,IF(P792='[22]Mapa de Calor inherente'!$AD$8,'[22]Mapa de Calor inherente'!$AE$8,IF(P792='[22]Mapa de Calor inherente'!$AD$9,'[22]Mapa de Calor inherente'!$AE$9,IF(P792='[22]Mapa de Calor inherente'!$AD$10,'[22]Mapa de Calor inherente'!$AE$10))))))))))))))</f>
        <v>0.6</v>
      </c>
      <c r="S792" s="292" t="e">
        <f>IF(N792="","",IF(R792="","",(N792*R792)))</f>
        <v>#VALUE!</v>
      </c>
      <c r="T792" s="603" t="str">
        <f>+IF(N792=$BB$17,IF(Q792=$BC$16,$BC$17,IF(Q792=$BD$16,$BD$17,IF(Q792=$BE$16,$BE$17,IF(Q792=$BF$16,$BF$17,IF(Q792=$BG$16,$BG$17))))),IF(N792=$BB$18,IF(Q792=$BC$16,$BC$18,IF(Q792=$BD$16,$BD$18,IF(Q792=$BE$16,$BE$18,IF(Q792=$BF$16,$BF$18,IF(Q792=$BG$16,$BG$18))))),IF(N792=$BB$19,IF(Q792=$BC$16,$BC$19,IF(Q792=$BD$16,$BD$19,IF(Q792=$BE$16,$BE$19,IF(Q792=$BF$16,$BF$19,IF(Q792=$BG$16,$BG$19))))),IF(N792=$BB$20,IF(Q792=$BC$16,$BC$20,IF(Q792=$BD$16,$BD$20,IF(Q792=$BE$16,$BE$20,IF(Q792=$BF$16,$BF$20,IF(Q792=$BG$16,$BG$20))))),IF(N792=$BB$21,IF(Q792=$BC$16,$BC$21,IF(Q792=$BD$16,$BD$21,IF(Q792=$BE$16,$BE$21,IF(Q792=$BF$16,$BF$21,IF(Q792=$BG$16,$BG$21))))),"")))))</f>
        <v>Moderado</v>
      </c>
      <c r="U792" s="139" t="s">
        <v>171</v>
      </c>
      <c r="V792" s="511" t="s">
        <v>915</v>
      </c>
      <c r="W792" s="313" t="s">
        <v>40</v>
      </c>
      <c r="X792" s="314">
        <f>IF(W792=[22]Listas!$B$46,[22]Listas!$C$46,IF(W792=[22]Listas!$B$47,[22]Listas!$C$47,IF(W792=[22]Listas!$B$48,[22]Listas!$C$48,"")))</f>
        <v>0.25</v>
      </c>
      <c r="Y792" s="315" t="str">
        <f>IF(OR(W792=[22]Listas!$F$53,W792=[22]Listas!$F$54),[22]Listas!$G$53,IF(W792=[22]Listas!$F$55,[22]Listas!$G$55,""))</f>
        <v>Probabilidad</v>
      </c>
      <c r="Z792" s="313" t="s">
        <v>43</v>
      </c>
      <c r="AA792" s="314">
        <f>+IF(Z792=[22]Listas!$E$46,[22]Listas!$F$46,IF(Z792=[22]Listas!$E$47,[22]Listas!$F$47,""))</f>
        <v>0.15</v>
      </c>
      <c r="AB792" s="181">
        <f>IFERROR(X792+AA792,"")</f>
        <v>0.4</v>
      </c>
      <c r="AC792" s="313" t="s">
        <v>57</v>
      </c>
      <c r="AD792" s="316" t="s">
        <v>58</v>
      </c>
      <c r="AE792" s="317" t="s">
        <v>59</v>
      </c>
      <c r="AF792" s="299" t="str">
        <f t="shared" si="117"/>
        <v>Baja</v>
      </c>
      <c r="AG792" s="141">
        <f>IF(Y792=[22]Listas!$G$53,O792-(O792*AB792),O792)</f>
        <v>0.36</v>
      </c>
      <c r="AH792" s="561">
        <f>+IF(AG801="","",AG801)</f>
        <v>0.36</v>
      </c>
      <c r="AI792" s="299" t="str">
        <f>IF(AJ792="","",IF(AJ792&lt;=20%,"Leve",IF(AJ792&lt;=40%,"Menor",IF(AJ792&lt;=60%,"Moderado",IF(AJ792&lt;=80%,"Mayor","Catastrófico")))))</f>
        <v>Moderado</v>
      </c>
      <c r="AJ792" s="141">
        <f>IF(Y792=[22]Listas!$G$55,R792-(R792*AB792),R792)</f>
        <v>0.6</v>
      </c>
      <c r="AK792" s="561">
        <f>+IF(AJ801="","",AJ801)</f>
        <v>0.6</v>
      </c>
      <c r="AL792" s="564" t="str">
        <f>+IF(AH792=0,"",IF(AH792&lt;=$BA$21,$BB$21,IF(AH792&lt;=$BA$20,$BB$20,IF(AH792&lt;=$BA$19,$BB$19,IF(AH792&lt;=$BA$18,$BB$18,IF(AH792&lt;=$BA$17,$BB$17,""))))))</f>
        <v>Baja</v>
      </c>
      <c r="AM792" s="564" t="str">
        <f>+IF(AK792=0,"",IF(AK792&lt;=$BC$15,$BC$16,IF(AK792&lt;=$BD$15,$BD$16,IF(AK792&lt;=$BE$15,$BE$16,IF(AK792&lt;=$BF$15,$BF$16,IF(AK792&lt;=$BG$15,$BG$16,""))))))</f>
        <v>Moderado</v>
      </c>
      <c r="AN792" s="564" t="str">
        <f>IF(AL792=$BB$17,IF(AM792=$BC$16,$BC$17,IF(AM792=$BD$16,$BD$17,IF(AM792=$BE$16,$BE$17,IF(AM792=$BF$16,$BF$17,IF(AM792=$BG$16,$BG$17))))),IF(AL792=$BB$18,IF(AM792=$BC$16,$BC$18,IF(AM792=$BD$16,$BD$18,IF(AM792=$BE$16,$BE$18,IF(AM792=$BF$16,$BF$18,IF(AM792=$BG$16,$BG$18))))),IF(AL792=$BB$19,IF(AM792=$BC$16,$BC$19,IF(AM792=$BD$16,$BD$19,IF(AM792=$BE$16,$BE$19,IF(AM792=$BF$16,$BF$19,IF(AM792=$BG$16,$BG$19))))),IF(AL792=$BB$20,IF(AM792=$BC$16,$BC$20,IF(AM792=$BD$16,$BD$20,IF(AM792=$BE$16,$BE$20,IF(AM792=$BF$16,$BF$20,IF(AM792=$BG$16,$BG$20))))),IF(AL792=$BB$21,IF(AM792=$BC$16,$BC$21,IF(AM792=$BD$16,$BD$21,IF(AM792=$BE$16,$BE$21,IF(AM792=$BF$16,$BF$21,IF(AM792=$BG$16,$BG$21))))),"")))))</f>
        <v>Moderado</v>
      </c>
      <c r="AO792" s="567" t="str">
        <f>IF(AP792="","",IF(AP792=[22]Listas!$F$61,[22]Listas!$G$61,IF(AP792=[22]Listas!$F$63,[22]Listas!$G$63,IF(AP792=[22]Listas!$F$64,[22]Listas!$G$64))))</f>
        <v>Requiere Plan de Acción</v>
      </c>
      <c r="AP792" s="570" t="str">
        <f>IF(AN792="","",IF(OR(AN792=[22]Listas!$E$61,AN792=[22]Listas!$E$62),[22]Listas!$F$61,IF(AN792=[22]Listas!$E$63,[22]Listas!$F$63,IF(AN792=[22]Listas!$E$64,[22]Listas!$F$64))))</f>
        <v>Aceptar o reducir el riesgo</v>
      </c>
      <c r="AQ792" s="342" t="s">
        <v>90</v>
      </c>
      <c r="AR792" s="412" t="s">
        <v>856</v>
      </c>
    </row>
    <row r="793" spans="2:44" ht="16" hidden="1" customHeight="1" thickBot="1" x14ac:dyDescent="0.4">
      <c r="B793" s="537"/>
      <c r="C793" s="560"/>
      <c r="D793" s="610" t="s">
        <v>909</v>
      </c>
      <c r="E793" s="577"/>
      <c r="F793" s="646"/>
      <c r="G793" s="675"/>
      <c r="H793" s="681"/>
      <c r="I793" s="589"/>
      <c r="J793" s="589"/>
      <c r="K793" s="592"/>
      <c r="L793" s="589"/>
      <c r="M793" s="595"/>
      <c r="N793" s="598"/>
      <c r="O793" s="601"/>
      <c r="P793" s="595"/>
      <c r="Q793" s="604"/>
      <c r="R793" s="601"/>
      <c r="S793" s="286"/>
      <c r="T793" s="604"/>
      <c r="U793" s="142" t="s">
        <v>174</v>
      </c>
      <c r="V793" s="418"/>
      <c r="W793" s="319"/>
      <c r="X793" s="320" t="str">
        <f>IF(W793=[22]Listas!$B$46,[22]Listas!$C$46,IF(W793=[22]Listas!$B$47,[22]Listas!$C$47,IF(W793=[22]Listas!$B$48,[22]Listas!$C$48,"")))</f>
        <v/>
      </c>
      <c r="Y793" s="321" t="str">
        <f>IF(OR(W793=[22]Listas!$F$53,W793=[22]Listas!$F$54),[22]Listas!$G$53,IF(W793=[22]Listas!$F$55,[22]Listas!$G$55,""))</f>
        <v/>
      </c>
      <c r="Z793" s="319"/>
      <c r="AA793" s="182" t="str">
        <f>+IF(Z793=[22]Listas!$E$46,[22]Listas!$F$46,IF(Z793=[22]Listas!$E$47,[22]Listas!$F$47,""))</f>
        <v/>
      </c>
      <c r="AB793" s="183" t="str">
        <f>IFERROR(X793+AA793,"")</f>
        <v/>
      </c>
      <c r="AC793" s="319"/>
      <c r="AD793" s="322"/>
      <c r="AE793" s="323"/>
      <c r="AF793" s="305" t="str">
        <f t="shared" si="117"/>
        <v>Baja</v>
      </c>
      <c r="AG793" s="145">
        <f>IF(Y793=[22]Listas!$G$53,AG792-(AG792*AB793),AG792)</f>
        <v>0.36</v>
      </c>
      <c r="AH793" s="562"/>
      <c r="AI793" s="305" t="str">
        <f t="shared" ref="AI793:AI801" si="120">IF(AJ793="","",IF(AJ793&lt;=20%,"Leve",IF(AJ793&lt;=40%,"Menor",IF(AJ793&lt;=60%,"Moderado",IF(AJ793&lt;=80%,"Mayor","Catastrófico")))))</f>
        <v>Moderado</v>
      </c>
      <c r="AJ793" s="145">
        <f>IF(Y793=[22]Listas!$G$55,AJ792-(AJ792*AB793),AJ792)</f>
        <v>0.6</v>
      </c>
      <c r="AK793" s="562"/>
      <c r="AL793" s="565"/>
      <c r="AM793" s="565"/>
      <c r="AN793" s="565"/>
      <c r="AO793" s="568"/>
      <c r="AP793" s="571"/>
      <c r="AQ793" s="343"/>
      <c r="AR793" s="191"/>
    </row>
    <row r="794" spans="2:44" ht="16" hidden="1" customHeight="1" thickTop="1" x14ac:dyDescent="0.35">
      <c r="B794" s="537"/>
      <c r="C794" s="560"/>
      <c r="D794" s="610" t="s">
        <v>909</v>
      </c>
      <c r="E794" s="577"/>
      <c r="F794" s="646"/>
      <c r="G794" s="675"/>
      <c r="H794" s="681"/>
      <c r="I794" s="589"/>
      <c r="J794" s="589"/>
      <c r="K794" s="592"/>
      <c r="L794" s="589"/>
      <c r="M794" s="595"/>
      <c r="N794" s="598"/>
      <c r="O794" s="601"/>
      <c r="P794" s="595"/>
      <c r="Q794" s="604"/>
      <c r="R794" s="601"/>
      <c r="S794" s="287"/>
      <c r="T794" s="604"/>
      <c r="U794" s="142" t="s">
        <v>180</v>
      </c>
      <c r="V794" s="418"/>
      <c r="W794" s="331"/>
      <c r="X794" s="320" t="str">
        <f>IF(W794=[22]Listas!$B$46,[22]Listas!$C$46,IF(W794=[22]Listas!$B$47,[22]Listas!$C$47,IF(W794=[22]Listas!$B$48,[22]Listas!$C$48,"")))</f>
        <v/>
      </c>
      <c r="Y794" s="321" t="str">
        <f>IF(OR(W794=[22]Listas!$F$53,W794=[22]Listas!$F$54),[22]Listas!$G$53,IF(W794=[22]Listas!$F$55,[22]Listas!$G$55,""))</f>
        <v/>
      </c>
      <c r="Z794" s="319"/>
      <c r="AA794" s="182" t="str">
        <f>+IF(Z794=[22]Listas!$E$46,[22]Listas!$F$46,IF(Z794=[22]Listas!$E$47,[22]Listas!$F$47,""))</f>
        <v/>
      </c>
      <c r="AB794" s="183" t="str">
        <f>IFERROR(X794+AA794,"")</f>
        <v/>
      </c>
      <c r="AC794" s="325"/>
      <c r="AD794" s="326"/>
      <c r="AE794" s="327"/>
      <c r="AF794" s="305" t="str">
        <f t="shared" si="117"/>
        <v>Baja</v>
      </c>
      <c r="AG794" s="145">
        <f>IF(Y794=[22]Listas!$G$53,AG793-(AG793*AB794),AG793)</f>
        <v>0.36</v>
      </c>
      <c r="AH794" s="562"/>
      <c r="AI794" s="305" t="str">
        <f t="shared" si="120"/>
        <v>Moderado</v>
      </c>
      <c r="AJ794" s="145">
        <f>IF(Y794=[22]Listas!$G$55,AJ793-(AJ793*AB794),AJ793)</f>
        <v>0.6</v>
      </c>
      <c r="AK794" s="562"/>
      <c r="AL794" s="565"/>
      <c r="AM794" s="565"/>
      <c r="AN794" s="565"/>
      <c r="AO794" s="568"/>
      <c r="AP794" s="571"/>
      <c r="AQ794" s="344"/>
      <c r="AR794" s="191"/>
    </row>
    <row r="795" spans="2:44" ht="16" hidden="1" customHeight="1" thickTop="1" x14ac:dyDescent="0.35">
      <c r="B795" s="537"/>
      <c r="C795" s="560"/>
      <c r="D795" s="610" t="s">
        <v>909</v>
      </c>
      <c r="E795" s="577"/>
      <c r="F795" s="646"/>
      <c r="G795" s="675"/>
      <c r="H795" s="681"/>
      <c r="I795" s="589"/>
      <c r="J795" s="589"/>
      <c r="K795" s="592"/>
      <c r="L795" s="589"/>
      <c r="M795" s="595"/>
      <c r="N795" s="598"/>
      <c r="O795" s="601"/>
      <c r="P795" s="595"/>
      <c r="Q795" s="604"/>
      <c r="R795" s="601"/>
      <c r="S795" s="287"/>
      <c r="T795" s="604"/>
      <c r="U795" s="142" t="s">
        <v>190</v>
      </c>
      <c r="V795" s="418"/>
      <c r="W795" s="319"/>
      <c r="X795" s="320" t="str">
        <f>IF(W795=[22]Listas!$B$46,[22]Listas!$C$46,IF(W795=[22]Listas!$B$47,[22]Listas!$C$47,IF(W795=[22]Listas!$B$48,[22]Listas!$C$48,"")))</f>
        <v/>
      </c>
      <c r="Y795" s="321" t="str">
        <f>IF(OR(W795=[22]Listas!$F$53,W795=[22]Listas!$F$54),[22]Listas!$G$53,IF(W795=[22]Listas!$F$55,[22]Listas!$G$55,""))</f>
        <v/>
      </c>
      <c r="Z795" s="319"/>
      <c r="AA795" s="182" t="str">
        <f>+IF(Z795=[22]Listas!$E$46,[22]Listas!$F$46,IF(Z795=[22]Listas!$E$47,[22]Listas!$F$47,""))</f>
        <v/>
      </c>
      <c r="AB795" s="183" t="str">
        <f t="shared" ref="AB795:AB801" si="121">IFERROR(X795+AA795,"")</f>
        <v/>
      </c>
      <c r="AC795" s="328"/>
      <c r="AD795" s="329"/>
      <c r="AE795" s="330"/>
      <c r="AF795" s="305" t="str">
        <f t="shared" si="117"/>
        <v>Baja</v>
      </c>
      <c r="AG795" s="145">
        <f>IF(Y795=[22]Listas!$G$53,AG794-(AG794*AB795),AG794)</f>
        <v>0.36</v>
      </c>
      <c r="AH795" s="562"/>
      <c r="AI795" s="305" t="str">
        <f t="shared" si="120"/>
        <v>Moderado</v>
      </c>
      <c r="AJ795" s="145">
        <f>IF(Y795=[22]Listas!$G$55,AJ794-(AJ794*AB795),AJ794)</f>
        <v>0.6</v>
      </c>
      <c r="AK795" s="562"/>
      <c r="AL795" s="565"/>
      <c r="AM795" s="565"/>
      <c r="AN795" s="565"/>
      <c r="AO795" s="568"/>
      <c r="AP795" s="571"/>
      <c r="AQ795" s="343"/>
      <c r="AR795" s="191"/>
    </row>
    <row r="796" spans="2:44" ht="16" hidden="1" customHeight="1" thickTop="1" x14ac:dyDescent="0.35">
      <c r="B796" s="537"/>
      <c r="C796" s="560"/>
      <c r="D796" s="610" t="s">
        <v>909</v>
      </c>
      <c r="E796" s="577"/>
      <c r="F796" s="646"/>
      <c r="G796" s="675"/>
      <c r="H796" s="681"/>
      <c r="I796" s="589"/>
      <c r="J796" s="589"/>
      <c r="K796" s="592"/>
      <c r="L796" s="589"/>
      <c r="M796" s="595"/>
      <c r="N796" s="598"/>
      <c r="O796" s="601"/>
      <c r="P796" s="595"/>
      <c r="Q796" s="604"/>
      <c r="R796" s="601"/>
      <c r="S796" s="287"/>
      <c r="T796" s="604"/>
      <c r="U796" s="142" t="s">
        <v>198</v>
      </c>
      <c r="V796" s="418"/>
      <c r="W796" s="331"/>
      <c r="X796" s="320" t="str">
        <f>IF(W796=[22]Listas!$B$46,[22]Listas!$C$46,IF(W796=[22]Listas!$B$47,[22]Listas!$C$47,IF(W796=[22]Listas!$B$48,[22]Listas!$C$48,"")))</f>
        <v/>
      </c>
      <c r="Y796" s="321" t="str">
        <f>IF(OR(W796=[22]Listas!$F$53,W796=[22]Listas!$F$54),[22]Listas!$G$53,IF(W796=[22]Listas!$F$55,[22]Listas!$G$55,""))</f>
        <v/>
      </c>
      <c r="Z796" s="331"/>
      <c r="AA796" s="182" t="str">
        <f>+IF(Z796=[22]Listas!$E$46,[22]Listas!$F$46,IF(Z796=[22]Listas!$E$47,[22]Listas!$F$47,""))</f>
        <v/>
      </c>
      <c r="AB796" s="183" t="str">
        <f t="shared" si="121"/>
        <v/>
      </c>
      <c r="AC796" s="319"/>
      <c r="AD796" s="322"/>
      <c r="AE796" s="323"/>
      <c r="AF796" s="305" t="str">
        <f t="shared" si="117"/>
        <v>Baja</v>
      </c>
      <c r="AG796" s="145">
        <f>IF(Y796=[22]Listas!$G$53,AG795-(AG795*AB796),AG795)</f>
        <v>0.36</v>
      </c>
      <c r="AH796" s="562"/>
      <c r="AI796" s="305" t="str">
        <f t="shared" si="120"/>
        <v>Moderado</v>
      </c>
      <c r="AJ796" s="145">
        <f>IF(Y796=[22]Listas!$G$55,AJ795-(AJ795*AB796),AJ795)</f>
        <v>0.6</v>
      </c>
      <c r="AK796" s="562"/>
      <c r="AL796" s="565"/>
      <c r="AM796" s="565"/>
      <c r="AN796" s="565"/>
      <c r="AO796" s="568"/>
      <c r="AP796" s="571"/>
      <c r="AQ796" s="343"/>
      <c r="AR796" s="191"/>
    </row>
    <row r="797" spans="2:44" ht="16" hidden="1" customHeight="1" thickTop="1" x14ac:dyDescent="0.35">
      <c r="B797" s="537"/>
      <c r="C797" s="560"/>
      <c r="D797" s="610" t="s">
        <v>909</v>
      </c>
      <c r="E797" s="577"/>
      <c r="F797" s="646"/>
      <c r="G797" s="675"/>
      <c r="H797" s="681"/>
      <c r="I797" s="589"/>
      <c r="J797" s="589"/>
      <c r="K797" s="592"/>
      <c r="L797" s="589"/>
      <c r="M797" s="595"/>
      <c r="N797" s="598"/>
      <c r="O797" s="601"/>
      <c r="P797" s="595"/>
      <c r="Q797" s="604"/>
      <c r="R797" s="601"/>
      <c r="S797" s="288"/>
      <c r="T797" s="604"/>
      <c r="U797" s="142" t="s">
        <v>208</v>
      </c>
      <c r="V797" s="418"/>
      <c r="W797" s="331"/>
      <c r="X797" s="320" t="str">
        <f>IF(W797=[22]Listas!$B$46,[22]Listas!$C$46,IF(W797=[22]Listas!$B$47,[22]Listas!$C$47,IF(W797=[22]Listas!$B$48,[22]Listas!$C$48,"")))</f>
        <v/>
      </c>
      <c r="Y797" s="321" t="str">
        <f>IF(OR(W797=[22]Listas!$F$53,W797=[22]Listas!$F$54),[22]Listas!$G$53,IF(W797=[22]Listas!$F$55,[22]Listas!$G$55,""))</f>
        <v/>
      </c>
      <c r="Z797" s="331"/>
      <c r="AA797" s="182" t="str">
        <f>+IF(Z797=[22]Listas!$E$46,[22]Listas!$F$46,IF(Z797=[22]Listas!$E$47,[22]Listas!$F$47,""))</f>
        <v/>
      </c>
      <c r="AB797" s="183" t="str">
        <f t="shared" si="121"/>
        <v/>
      </c>
      <c r="AC797" s="319"/>
      <c r="AD797" s="322"/>
      <c r="AE797" s="323"/>
      <c r="AF797" s="305" t="str">
        <f t="shared" si="117"/>
        <v>Baja</v>
      </c>
      <c r="AG797" s="145">
        <f>IF(Y797=[22]Listas!$G$53,AG796-(AG796*AB797),AG796)</f>
        <v>0.36</v>
      </c>
      <c r="AH797" s="562"/>
      <c r="AI797" s="305" t="str">
        <f t="shared" si="120"/>
        <v>Moderado</v>
      </c>
      <c r="AJ797" s="145">
        <f>IF(Y797=[22]Listas!$G$55,AJ796-(AJ796*AB797),AJ796)</f>
        <v>0.6</v>
      </c>
      <c r="AK797" s="562"/>
      <c r="AL797" s="565"/>
      <c r="AM797" s="565"/>
      <c r="AN797" s="565"/>
      <c r="AO797" s="568"/>
      <c r="AP797" s="571"/>
      <c r="AQ797" s="343"/>
      <c r="AR797" s="191"/>
    </row>
    <row r="798" spans="2:44" ht="16" hidden="1" customHeight="1" thickTop="1" x14ac:dyDescent="0.35">
      <c r="B798" s="537"/>
      <c r="C798" s="560"/>
      <c r="D798" s="610" t="s">
        <v>909</v>
      </c>
      <c r="E798" s="577"/>
      <c r="F798" s="646"/>
      <c r="G798" s="675"/>
      <c r="H798" s="681"/>
      <c r="I798" s="589"/>
      <c r="J798" s="589"/>
      <c r="K798" s="592"/>
      <c r="L798" s="589"/>
      <c r="M798" s="595"/>
      <c r="N798" s="598"/>
      <c r="O798" s="601"/>
      <c r="P798" s="595"/>
      <c r="Q798" s="604"/>
      <c r="R798" s="601"/>
      <c r="S798" s="289"/>
      <c r="T798" s="604"/>
      <c r="U798" s="142" t="s">
        <v>215</v>
      </c>
      <c r="V798" s="418"/>
      <c r="W798" s="331"/>
      <c r="X798" s="320" t="str">
        <f>IF(W798=[22]Listas!$B$46,[22]Listas!$C$46,IF(W798=[22]Listas!$B$47,[22]Listas!$C$47,IF(W798=[22]Listas!$B$48,[22]Listas!$C$48,"")))</f>
        <v/>
      </c>
      <c r="Y798" s="321" t="str">
        <f>IF(OR(W798=[22]Listas!$F$53,W798=[22]Listas!$F$54),[22]Listas!$G$53,IF(W798=[22]Listas!$F$55,[22]Listas!$G$55,""))</f>
        <v/>
      </c>
      <c r="Z798" s="331"/>
      <c r="AA798" s="182" t="str">
        <f>+IF(Z798=[22]Listas!$E$46,[22]Listas!$F$46,IF(Z798=[22]Listas!$E$47,[22]Listas!$F$47,""))</f>
        <v/>
      </c>
      <c r="AB798" s="183" t="str">
        <f t="shared" si="121"/>
        <v/>
      </c>
      <c r="AC798" s="319"/>
      <c r="AD798" s="322"/>
      <c r="AE798" s="323"/>
      <c r="AF798" s="305" t="str">
        <f t="shared" si="117"/>
        <v>Baja</v>
      </c>
      <c r="AG798" s="145">
        <f>IF(Y798=[22]Listas!$G$53,AG797-(AG797*AB798),AG797)</f>
        <v>0.36</v>
      </c>
      <c r="AH798" s="562"/>
      <c r="AI798" s="305" t="str">
        <f t="shared" si="120"/>
        <v>Moderado</v>
      </c>
      <c r="AJ798" s="145">
        <f>IF(Y798=[22]Listas!$G$55,AJ797-(AJ797*AB798),AJ797)</f>
        <v>0.6</v>
      </c>
      <c r="AK798" s="562"/>
      <c r="AL798" s="565"/>
      <c r="AM798" s="565"/>
      <c r="AN798" s="565"/>
      <c r="AO798" s="568"/>
      <c r="AP798" s="571"/>
      <c r="AQ798" s="343"/>
      <c r="AR798" s="191"/>
    </row>
    <row r="799" spans="2:44" ht="16" hidden="1" customHeight="1" thickTop="1" x14ac:dyDescent="0.35">
      <c r="B799" s="537"/>
      <c r="C799" s="560"/>
      <c r="D799" s="610" t="s">
        <v>909</v>
      </c>
      <c r="E799" s="577"/>
      <c r="F799" s="646"/>
      <c r="G799" s="675"/>
      <c r="H799" s="681"/>
      <c r="I799" s="589"/>
      <c r="J799" s="589"/>
      <c r="K799" s="592"/>
      <c r="L799" s="589"/>
      <c r="M799" s="595"/>
      <c r="N799" s="598"/>
      <c r="O799" s="601"/>
      <c r="P799" s="595"/>
      <c r="Q799" s="604"/>
      <c r="R799" s="601"/>
      <c r="S799" s="289"/>
      <c r="T799" s="604"/>
      <c r="U799" s="142" t="s">
        <v>220</v>
      </c>
      <c r="V799" s="418"/>
      <c r="W799" s="331"/>
      <c r="X799" s="320" t="str">
        <f>IF(W799=[22]Listas!$B$46,[22]Listas!$C$46,IF(W799=[22]Listas!$B$47,[22]Listas!$C$47,IF(W799=[22]Listas!$B$48,[22]Listas!$C$48,"")))</f>
        <v/>
      </c>
      <c r="Y799" s="321" t="str">
        <f>IF(OR(W799=[22]Listas!$F$53,W799=[22]Listas!$F$54),[22]Listas!$G$53,IF(W799=[22]Listas!$F$55,[22]Listas!$G$55,""))</f>
        <v/>
      </c>
      <c r="Z799" s="331"/>
      <c r="AA799" s="182" t="str">
        <f>+IF(Z799=[22]Listas!$E$46,[22]Listas!$F$46,IF(Z799=[22]Listas!$E$47,[22]Listas!$F$47,""))</f>
        <v/>
      </c>
      <c r="AB799" s="183" t="str">
        <f t="shared" si="121"/>
        <v/>
      </c>
      <c r="AC799" s="319"/>
      <c r="AD799" s="322"/>
      <c r="AE799" s="323"/>
      <c r="AF799" s="305" t="str">
        <f t="shared" si="117"/>
        <v>Baja</v>
      </c>
      <c r="AG799" s="145">
        <f>IF(Y799=[22]Listas!$G$53,AG798-(AG798*AB799),AG798)</f>
        <v>0.36</v>
      </c>
      <c r="AH799" s="562"/>
      <c r="AI799" s="305" t="str">
        <f t="shared" si="120"/>
        <v>Moderado</v>
      </c>
      <c r="AJ799" s="145">
        <f>IF(Y799=[22]Listas!$G$55,AJ798-(AJ798*AB799),AJ798)</f>
        <v>0.6</v>
      </c>
      <c r="AK799" s="562"/>
      <c r="AL799" s="565"/>
      <c r="AM799" s="565"/>
      <c r="AN799" s="565"/>
      <c r="AO799" s="568"/>
      <c r="AP799" s="571"/>
      <c r="AQ799" s="343"/>
      <c r="AR799" s="191"/>
    </row>
    <row r="800" spans="2:44" ht="16" hidden="1" customHeight="1" thickTop="1" x14ac:dyDescent="0.35">
      <c r="B800" s="537"/>
      <c r="C800" s="560"/>
      <c r="D800" s="610" t="s">
        <v>909</v>
      </c>
      <c r="E800" s="577"/>
      <c r="F800" s="646"/>
      <c r="G800" s="675"/>
      <c r="H800" s="681"/>
      <c r="I800" s="589"/>
      <c r="J800" s="589"/>
      <c r="K800" s="592"/>
      <c r="L800" s="589"/>
      <c r="M800" s="595"/>
      <c r="N800" s="598"/>
      <c r="O800" s="601"/>
      <c r="P800" s="595"/>
      <c r="Q800" s="604"/>
      <c r="R800" s="601"/>
      <c r="S800" s="289"/>
      <c r="T800" s="604"/>
      <c r="U800" s="142" t="s">
        <v>223</v>
      </c>
      <c r="V800" s="418"/>
      <c r="W800" s="331"/>
      <c r="X800" s="320" t="str">
        <f>IF(W800=[22]Listas!$B$46,[22]Listas!$C$46,IF(W800=[22]Listas!$B$47,[22]Listas!$C$47,IF(W800=[22]Listas!$B$48,[22]Listas!$C$48,"")))</f>
        <v/>
      </c>
      <c r="Y800" s="321" t="str">
        <f>IF(OR(W800=[22]Listas!$F$53,W800=[22]Listas!$F$54),[22]Listas!$G$53,IF(W800=[22]Listas!$F$55,[22]Listas!$G$55,""))</f>
        <v/>
      </c>
      <c r="Z800" s="331"/>
      <c r="AA800" s="182" t="str">
        <f>+IF(Z800=[22]Listas!$E$46,[22]Listas!$F$46,IF(Z800=[22]Listas!$E$47,[22]Listas!$F$47,""))</f>
        <v/>
      </c>
      <c r="AB800" s="183" t="str">
        <f t="shared" si="121"/>
        <v/>
      </c>
      <c r="AC800" s="319"/>
      <c r="AD800" s="322"/>
      <c r="AE800" s="323"/>
      <c r="AF800" s="305" t="str">
        <f t="shared" si="117"/>
        <v>Baja</v>
      </c>
      <c r="AG800" s="145">
        <f>IF(Y800=[22]Listas!$G$53,AG799-(AG799*AB800),AG799)</f>
        <v>0.36</v>
      </c>
      <c r="AH800" s="562"/>
      <c r="AI800" s="305" t="str">
        <f t="shared" si="120"/>
        <v>Moderado</v>
      </c>
      <c r="AJ800" s="145">
        <f>IF(Y800=[22]Listas!$G$55,AJ799-(AJ799*AB800),AJ799)</f>
        <v>0.6</v>
      </c>
      <c r="AK800" s="562"/>
      <c r="AL800" s="565"/>
      <c r="AM800" s="565"/>
      <c r="AN800" s="565"/>
      <c r="AO800" s="568"/>
      <c r="AP800" s="571"/>
      <c r="AQ800" s="344"/>
      <c r="AR800" s="191"/>
    </row>
    <row r="801" spans="2:44" ht="16" hidden="1" customHeight="1" thickTop="1" x14ac:dyDescent="0.35">
      <c r="B801" s="537"/>
      <c r="C801" s="560"/>
      <c r="D801" s="611" t="s">
        <v>909</v>
      </c>
      <c r="E801" s="578"/>
      <c r="F801" s="647"/>
      <c r="G801" s="676"/>
      <c r="H801" s="682"/>
      <c r="I801" s="590"/>
      <c r="J801" s="590"/>
      <c r="K801" s="593"/>
      <c r="L801" s="590"/>
      <c r="M801" s="596"/>
      <c r="N801" s="599"/>
      <c r="O801" s="602"/>
      <c r="P801" s="596"/>
      <c r="Q801" s="605"/>
      <c r="R801" s="602"/>
      <c r="S801" s="293"/>
      <c r="T801" s="605"/>
      <c r="U801" s="202" t="s">
        <v>224</v>
      </c>
      <c r="V801" s="416"/>
      <c r="W801" s="335"/>
      <c r="X801" s="336" t="str">
        <f>IF(W801=[22]Listas!$B$46,[22]Listas!$C$46,IF(W801=[22]Listas!$B$47,[22]Listas!$C$47,IF(W801=[22]Listas!$B$48,[22]Listas!$C$48,"")))</f>
        <v/>
      </c>
      <c r="Y801" s="337" t="str">
        <f>IF(OR(W801=[22]Listas!$F$53,W801=[22]Listas!$F$54),[22]Listas!$G$53,IF(W801=[22]Listas!$F$55,[22]Listas!$G$55,""))</f>
        <v/>
      </c>
      <c r="Z801" s="335"/>
      <c r="AA801" s="186" t="str">
        <f>+IF(Z801=[22]Listas!$E$46,[22]Listas!$F$46,IF(Z801=[22]Listas!$E$47,[22]Listas!$F$47,""))</f>
        <v/>
      </c>
      <c r="AB801" s="187" t="str">
        <f t="shared" si="121"/>
        <v/>
      </c>
      <c r="AC801" s="338"/>
      <c r="AD801" s="339"/>
      <c r="AE801" s="340"/>
      <c r="AF801" s="311" t="str">
        <f t="shared" si="117"/>
        <v>Baja</v>
      </c>
      <c r="AG801" s="179">
        <f>IF(Y801=[22]Listas!$G$53,AG800-(AG800*AB801),AG800)</f>
        <v>0.36</v>
      </c>
      <c r="AH801" s="563"/>
      <c r="AI801" s="311" t="str">
        <f t="shared" si="120"/>
        <v>Moderado</v>
      </c>
      <c r="AJ801" s="179">
        <f>IF(Y801=[22]Listas!$G$55,AJ800-(AJ800*AB801),AJ800)</f>
        <v>0.6</v>
      </c>
      <c r="AK801" s="563"/>
      <c r="AL801" s="566"/>
      <c r="AM801" s="566"/>
      <c r="AN801" s="566"/>
      <c r="AO801" s="569"/>
      <c r="AP801" s="572"/>
      <c r="AQ801" s="346"/>
      <c r="AR801" s="192"/>
    </row>
    <row r="802" spans="2:44" ht="144" customHeight="1" thickTop="1" thickBot="1" x14ac:dyDescent="0.4">
      <c r="B802" s="537"/>
      <c r="C802" s="560"/>
      <c r="D802" s="609" t="s">
        <v>916</v>
      </c>
      <c r="E802" s="576" t="s">
        <v>3</v>
      </c>
      <c r="F802" s="645" t="s">
        <v>917</v>
      </c>
      <c r="G802" s="674" t="s">
        <v>918</v>
      </c>
      <c r="H802" s="665" t="s">
        <v>919</v>
      </c>
      <c r="I802" s="588" t="s">
        <v>23</v>
      </c>
      <c r="J802" s="588" t="s">
        <v>29</v>
      </c>
      <c r="K802" s="591" t="s">
        <v>920</v>
      </c>
      <c r="L802" s="588" t="s">
        <v>168</v>
      </c>
      <c r="M802" s="594" t="s">
        <v>207</v>
      </c>
      <c r="N802" s="597" t="str">
        <f>+IF(M802="","",IF(M802=$BO$15,$BN$15,IF(M802=$BO$16,$BN$16,IF(M802=$BO$17,$BN$17,IF(M802=$BO$18,$BN$18,IF(M802=$BO$19,$BN$19))))))</f>
        <v>Baja</v>
      </c>
      <c r="O802" s="600">
        <f>+IF(M802="","",IF(M802=$BO$15,$BR$15,IF(M802=$BO$16,$BR$16,IF(M802=$BO$17,$BR$17,IF(M802=$BO$18,$BR$18,IF(M802=$BO$19,$BR$19))))))</f>
        <v>0.4</v>
      </c>
      <c r="P802" s="594" t="s">
        <v>211</v>
      </c>
      <c r="Q802" s="603" t="str">
        <f>+IF(P802="","",IF(P802='[22]Mapa de Calor inherente'!$AF$6,'[22]Mapa de Calor inherente'!$AD$6,IF(P802='[22]Mapa de Calor inherente'!$AF$7,'[22]Mapa de Calor inherente'!$AD$7,IF(P802='[22]Mapa de Calor inherente'!$AF$8,'[22]Mapa de Calor inherente'!$AD$8,IF(P802='[22]Mapa de Calor inherente'!$AF$9,'[22]Mapa de Calor inherente'!$AD$9,IF(P802='[22]Mapa de Calor inherente'!$AF$10,'[22]Mapa de Calor inherente'!$AD$10,IF(P802='[22]Mapa de Calor inherente'!$AG$6,'[22]Mapa de Calor inherente'!$AD$6,IF(P802='[22]Mapa de Calor inherente'!$AG$7,'[22]Mapa de Calor inherente'!$AD$7,IF(P802='[22]Mapa de Calor inherente'!$AG$8,'[22]Mapa de Calor inherente'!$AD$8,IF(P802='[22]Mapa de Calor inherente'!$AG$9,'[22]Mapa de Calor inherente'!$AD$9,IF(P802='[22]Mapa de Calor inherente'!$AG$10,'[22]Mapa de Calor inherente'!$AD$10,IF(P802='[22]Mapa de Calor inherente'!$AD$8,'[22]Mapa de Calor inherente'!$AD$8,IF(P802='[22]Mapa de Calor inherente'!$AD$9,'[22]Mapa de Calor inherente'!$AD$9,IF(P802='[22]Mapa de Calor inherente'!$AD$10,'[22]Mapa de Calor inherente'!$AD$10))))))))))))))</f>
        <v>Moderado</v>
      </c>
      <c r="R802" s="600">
        <f>+IF(P802="","",IF(P802='[22]Mapa de Calor inherente'!$AF$6,'[22]Mapa de Calor inherente'!$AE$6,IF(P802='[22]Mapa de Calor inherente'!$AF$7,'[22]Mapa de Calor inherente'!$AE$7,IF(P802='[22]Mapa de Calor inherente'!$AF$8,'[22]Mapa de Calor inherente'!$AE$8,IF(P802='[22]Mapa de Calor inherente'!$AF$9,'[22]Mapa de Calor inherente'!$AE$9,IF(P802='[22]Mapa de Calor inherente'!$AF$10,'[22]Mapa de Calor inherente'!$AE$10,IF(P802='[22]Mapa de Calor inherente'!$AG$6,'[22]Mapa de Calor inherente'!$AE$6,IF(P802='[22]Mapa de Calor inherente'!$AG$7,'[22]Mapa de Calor inherente'!$AE$7,IF(P802='[22]Mapa de Calor inherente'!$AG$8,'[22]Mapa de Calor inherente'!$AE$8,IF(P802='[22]Mapa de Calor inherente'!$AG$9,'[22]Mapa de Calor inherente'!$AE$9,IF(P802='[22]Mapa de Calor inherente'!$AG$10,'[22]Mapa de Calor inherente'!$AE$10,IF(P802='[22]Mapa de Calor inherente'!$AD$8,'[22]Mapa de Calor inherente'!$AE$8,IF(P802='[22]Mapa de Calor inherente'!$AD$9,'[22]Mapa de Calor inherente'!$AE$9,IF(P802='[22]Mapa de Calor inherente'!$AD$10,'[22]Mapa de Calor inherente'!$AE$10))))))))))))))</f>
        <v>0.6</v>
      </c>
      <c r="S802" s="292" t="e">
        <f>IF(N802="","",IF(R802="","",(N802*R802)))</f>
        <v>#VALUE!</v>
      </c>
      <c r="T802" s="603" t="str">
        <f>+IF(N802=$BB$17,IF(Q802=$BC$16,$BC$17,IF(Q802=$BD$16,$BD$17,IF(Q802=$BE$16,$BE$17,IF(Q802=$BF$16,$BF$17,IF(Q802=$BG$16,$BG$17))))),IF(N802=$BB$18,IF(Q802=$BC$16,$BC$18,IF(Q802=$BD$16,$BD$18,IF(Q802=$BE$16,$BE$18,IF(Q802=$BF$16,$BF$18,IF(Q802=$BG$16,$BG$18))))),IF(N802=$BB$19,IF(Q802=$BC$16,$BC$19,IF(Q802=$BD$16,$BD$19,IF(Q802=$BE$16,$BE$19,IF(Q802=$BF$16,$BF$19,IF(Q802=$BG$16,$BG$19))))),IF(N802=$BB$20,IF(Q802=$BC$16,$BC$20,IF(Q802=$BD$16,$BD$20,IF(Q802=$BE$16,$BE$20,IF(Q802=$BF$16,$BF$20,IF(Q802=$BG$16,$BG$20))))),IF(N802=$BB$21,IF(Q802=$BC$16,$BC$21,IF(Q802=$BD$16,$BD$21,IF(Q802=$BE$16,$BE$21,IF(Q802=$BF$16,$BF$21,IF(Q802=$BG$16,$BG$21))))),"")))))</f>
        <v>Moderado</v>
      </c>
      <c r="U802" s="139" t="s">
        <v>171</v>
      </c>
      <c r="V802" s="512" t="s">
        <v>921</v>
      </c>
      <c r="W802" s="313" t="s">
        <v>44</v>
      </c>
      <c r="X802" s="314">
        <f>IF(W802=[22]Listas!$B$46,[22]Listas!$C$46,IF(W802=[22]Listas!$B$47,[22]Listas!$C$47,IF(W802=[22]Listas!$B$48,[22]Listas!$C$48,"")))</f>
        <v>0.1</v>
      </c>
      <c r="Y802" s="315" t="str">
        <f>IF(OR(W802=[22]Listas!$F$53,W802=[22]Listas!$F$54),[22]Listas!$G$53,IF(W802=[22]Listas!$F$55,[22]Listas!$G$55,""))</f>
        <v>Impacto</v>
      </c>
      <c r="Z802" s="313" t="s">
        <v>43</v>
      </c>
      <c r="AA802" s="314">
        <f>+IF(Z802=[22]Listas!$E$46,[22]Listas!$F$46,IF(Z802=[22]Listas!$E$47,[22]Listas!$F$47,""))</f>
        <v>0.15</v>
      </c>
      <c r="AB802" s="181">
        <f>IFERROR(X802+AA802,"")</f>
        <v>0.25</v>
      </c>
      <c r="AC802" s="313" t="s">
        <v>57</v>
      </c>
      <c r="AD802" s="316" t="s">
        <v>58</v>
      </c>
      <c r="AE802" s="317" t="s">
        <v>59</v>
      </c>
      <c r="AF802" s="299" t="str">
        <f t="shared" si="117"/>
        <v>Baja</v>
      </c>
      <c r="AG802" s="141">
        <f>IF(Y802=[22]Listas!$G$53,O802-(O802*AB802),O802)</f>
        <v>0.4</v>
      </c>
      <c r="AH802" s="561">
        <f>+IF(AG811="","",AG811)</f>
        <v>0.4</v>
      </c>
      <c r="AI802" s="299" t="str">
        <f>IF(AJ802="","",IF(AJ802&lt;=20%,"Leve",IF(AJ802&lt;=40%,"Menor",IF(AJ802&lt;=60%,"Moderado",IF(AJ802&lt;=80%,"Mayor","Catastrófico")))))</f>
        <v>Moderado</v>
      </c>
      <c r="AJ802" s="141">
        <f>IF(Y802=[22]Listas!$G$55,R802-(R802*AB802),R802)</f>
        <v>0.44999999999999996</v>
      </c>
      <c r="AK802" s="561">
        <f>+IF(AJ811="","",AJ811)</f>
        <v>0.44999999999999996</v>
      </c>
      <c r="AL802" s="564" t="str">
        <f>+IF(AH802=0,"",IF(AH802&lt;=$BA$21,$BB$21,IF(AH802&lt;=$BA$20,$BB$20,IF(AH802&lt;=$BA$19,$BB$19,IF(AH802&lt;=$BA$18,$BB$18,IF(AH802&lt;=$BA$17,$BB$17,""))))))</f>
        <v>Baja</v>
      </c>
      <c r="AM802" s="564" t="str">
        <f>+IF(AK802=0,"",IF(AK802&lt;=$BC$15,$BC$16,IF(AK802&lt;=$BD$15,$BD$16,IF(AK802&lt;=$BE$15,$BE$16,IF(AK802&lt;=$BF$15,$BF$16,IF(AK802&lt;=$BG$15,$BG$16,""))))))</f>
        <v>Moderado</v>
      </c>
      <c r="AN802" s="564" t="str">
        <f>IF(AL802=$BB$17,IF(AM802=$BC$16,$BC$17,IF(AM802=$BD$16,$BD$17,IF(AM802=$BE$16,$BE$17,IF(AM802=$BF$16,$BF$17,IF(AM802=$BG$16,$BG$17))))),IF(AL802=$BB$18,IF(AM802=$BC$16,$BC$18,IF(AM802=$BD$16,$BD$18,IF(AM802=$BE$16,$BE$18,IF(AM802=$BF$16,$BF$18,IF(AM802=$BG$16,$BG$18))))),IF(AL802=$BB$19,IF(AM802=$BC$16,$BC$19,IF(AM802=$BD$16,$BD$19,IF(AM802=$BE$16,$BE$19,IF(AM802=$BF$16,$BF$19,IF(AM802=$BG$16,$BG$19))))),IF(AL802=$BB$20,IF(AM802=$BC$16,$BC$20,IF(AM802=$BD$16,$BD$20,IF(AM802=$BE$16,$BE$20,IF(AM802=$BF$16,$BF$20,IF(AM802=$BG$16,$BG$20))))),IF(AL802=$BB$21,IF(AM802=$BC$16,$BC$21,IF(AM802=$BD$16,$BD$21,IF(AM802=$BE$16,$BE$21,IF(AM802=$BF$16,$BF$21,IF(AM802=$BG$16,$BG$21))))),"")))))</f>
        <v>Moderado</v>
      </c>
      <c r="AO802" s="567" t="str">
        <f>IF(AP802="","",IF(AP802=[22]Listas!$F$61,[22]Listas!$G$61,IF(AP802=[22]Listas!$F$63,[22]Listas!$G$63,IF(AP802=[22]Listas!$F$64,[22]Listas!$G$64))))</f>
        <v>Requiere Plan de Acción</v>
      </c>
      <c r="AP802" s="570" t="str">
        <f>IF(AN802="","",IF(OR(AN802=[22]Listas!$E$61,AN802=[22]Listas!$E$62),[22]Listas!$F$61,IF(AN802=[22]Listas!$E$63,[22]Listas!$F$63,IF(AN802=[22]Listas!$E$64,[22]Listas!$F$64))))</f>
        <v>Aceptar o reducir el riesgo</v>
      </c>
      <c r="AQ802" s="342" t="s">
        <v>80</v>
      </c>
      <c r="AR802" s="116" t="s">
        <v>922</v>
      </c>
    </row>
    <row r="803" spans="2:44" ht="99" thickTop="1" thickBot="1" x14ac:dyDescent="0.35">
      <c r="B803" s="537"/>
      <c r="C803" s="560"/>
      <c r="D803" s="610" t="s">
        <v>909</v>
      </c>
      <c r="E803" s="577"/>
      <c r="F803" s="646"/>
      <c r="G803" s="675"/>
      <c r="H803" s="666"/>
      <c r="I803" s="589"/>
      <c r="J803" s="589"/>
      <c r="K803" s="592"/>
      <c r="L803" s="589"/>
      <c r="M803" s="595"/>
      <c r="N803" s="598"/>
      <c r="O803" s="601"/>
      <c r="P803" s="595"/>
      <c r="Q803" s="604"/>
      <c r="R803" s="601"/>
      <c r="S803" s="286"/>
      <c r="T803" s="604"/>
      <c r="U803" s="142" t="s">
        <v>174</v>
      </c>
      <c r="V803" s="445"/>
      <c r="W803" s="319"/>
      <c r="X803" s="320" t="str">
        <f>IF(W803=[22]Listas!$B$46,[22]Listas!$C$46,IF(W803=[22]Listas!$B$47,[22]Listas!$C$47,IF(W803=[22]Listas!$B$48,[22]Listas!$C$48,"")))</f>
        <v/>
      </c>
      <c r="Y803" s="321" t="str">
        <f>IF(OR(W803=[22]Listas!$F$53,W803=[22]Listas!$F$54),[22]Listas!$G$53,IF(W803=[22]Listas!$F$55,[22]Listas!$G$55,""))</f>
        <v/>
      </c>
      <c r="Z803" s="319"/>
      <c r="AA803" s="182" t="str">
        <f>+IF(Z803=[22]Listas!$E$46,[22]Listas!$F$46,IF(Z803=[22]Listas!$E$47,[22]Listas!$F$47,""))</f>
        <v/>
      </c>
      <c r="AB803" s="183" t="str">
        <f>IFERROR(X803+AA803,"")</f>
        <v/>
      </c>
      <c r="AC803" s="319"/>
      <c r="AD803" s="322"/>
      <c r="AE803" s="323"/>
      <c r="AF803" s="305" t="str">
        <f t="shared" si="117"/>
        <v>Baja</v>
      </c>
      <c r="AG803" s="145">
        <f>IF(Y803=[22]Listas!$G$53,AG802-(AG802*AB803),AG802)</f>
        <v>0.4</v>
      </c>
      <c r="AH803" s="562"/>
      <c r="AI803" s="305" t="str">
        <f t="shared" ref="AI803:AI811" si="122">IF(AJ803="","",IF(AJ803&lt;=20%,"Leve",IF(AJ803&lt;=40%,"Menor",IF(AJ803&lt;=60%,"Moderado",IF(AJ803&lt;=80%,"Mayor","Catastrófico")))))</f>
        <v>Moderado</v>
      </c>
      <c r="AJ803" s="145">
        <f>IF(Y803=[22]Listas!$G$55,AJ802-(AJ802*AB803),AJ802)</f>
        <v>0.44999999999999996</v>
      </c>
      <c r="AK803" s="562"/>
      <c r="AL803" s="565"/>
      <c r="AM803" s="565"/>
      <c r="AN803" s="565"/>
      <c r="AO803" s="568"/>
      <c r="AP803" s="571"/>
      <c r="AQ803" s="343" t="s">
        <v>90</v>
      </c>
      <c r="AR803" s="413" t="s">
        <v>856</v>
      </c>
    </row>
    <row r="804" spans="2:44" ht="16" hidden="1" customHeight="1" thickBot="1" x14ac:dyDescent="0.4">
      <c r="B804" s="537"/>
      <c r="C804" s="280"/>
      <c r="D804" s="610" t="s">
        <v>909</v>
      </c>
      <c r="E804" s="577"/>
      <c r="F804" s="646"/>
      <c r="G804" s="675"/>
      <c r="H804" s="666"/>
      <c r="I804" s="589"/>
      <c r="J804" s="589"/>
      <c r="K804" s="592"/>
      <c r="L804" s="589"/>
      <c r="M804" s="595"/>
      <c r="N804" s="598"/>
      <c r="O804" s="601"/>
      <c r="P804" s="595"/>
      <c r="Q804" s="604"/>
      <c r="R804" s="601"/>
      <c r="S804" s="287"/>
      <c r="T804" s="604"/>
      <c r="U804" s="142" t="s">
        <v>180</v>
      </c>
      <c r="V804" s="418"/>
      <c r="W804" s="331"/>
      <c r="X804" s="320" t="str">
        <f>IF(W804=[22]Listas!$B$46,[22]Listas!$C$46,IF(W804=[22]Listas!$B$47,[22]Listas!$C$47,IF(W804=[22]Listas!$B$48,[22]Listas!$C$48,"")))</f>
        <v/>
      </c>
      <c r="Y804" s="321" t="str">
        <f>IF(OR(W804=[22]Listas!$F$53,W804=[22]Listas!$F$54),[22]Listas!$G$53,IF(W804=[22]Listas!$F$55,[22]Listas!$G$55,""))</f>
        <v/>
      </c>
      <c r="Z804" s="319"/>
      <c r="AA804" s="182" t="str">
        <f>+IF(Z804=[22]Listas!$E$46,[22]Listas!$F$46,IF(Z804=[22]Listas!$E$47,[22]Listas!$F$47,""))</f>
        <v/>
      </c>
      <c r="AB804" s="183" t="str">
        <f>IFERROR(X804+AA804,"")</f>
        <v/>
      </c>
      <c r="AC804" s="325"/>
      <c r="AD804" s="326"/>
      <c r="AE804" s="327"/>
      <c r="AF804" s="305" t="str">
        <f t="shared" si="117"/>
        <v>Baja</v>
      </c>
      <c r="AG804" s="145">
        <f>IF(Y804=[22]Listas!$G$53,AG803-(AG803*AB804),AG803)</f>
        <v>0.4</v>
      </c>
      <c r="AH804" s="562"/>
      <c r="AI804" s="305" t="str">
        <f t="shared" si="122"/>
        <v>Moderado</v>
      </c>
      <c r="AJ804" s="145">
        <f>IF(Y804=[22]Listas!$G$55,AJ803-(AJ803*AB804),AJ803)</f>
        <v>0.44999999999999996</v>
      </c>
      <c r="AK804" s="562"/>
      <c r="AL804" s="565"/>
      <c r="AM804" s="565"/>
      <c r="AN804" s="565"/>
      <c r="AO804" s="568"/>
      <c r="AP804" s="571"/>
      <c r="AQ804" s="343"/>
      <c r="AR804" s="199"/>
    </row>
    <row r="805" spans="2:44" ht="15.65" hidden="1" customHeight="1" thickTop="1" x14ac:dyDescent="0.35">
      <c r="B805" s="537"/>
      <c r="C805" s="280"/>
      <c r="D805" s="610" t="s">
        <v>909</v>
      </c>
      <c r="E805" s="577"/>
      <c r="F805" s="646"/>
      <c r="G805" s="675"/>
      <c r="H805" s="666"/>
      <c r="I805" s="589"/>
      <c r="J805" s="589"/>
      <c r="K805" s="592"/>
      <c r="L805" s="589"/>
      <c r="M805" s="595"/>
      <c r="N805" s="598"/>
      <c r="O805" s="601"/>
      <c r="P805" s="595"/>
      <c r="Q805" s="604"/>
      <c r="R805" s="601"/>
      <c r="S805" s="287"/>
      <c r="T805" s="604"/>
      <c r="U805" s="142" t="s">
        <v>190</v>
      </c>
      <c r="V805" s="418"/>
      <c r="W805" s="319"/>
      <c r="X805" s="320" t="str">
        <f>IF(W805=[22]Listas!$B$46,[22]Listas!$C$46,IF(W805=[22]Listas!$B$47,[22]Listas!$C$47,IF(W805=[22]Listas!$B$48,[22]Listas!$C$48,"")))</f>
        <v/>
      </c>
      <c r="Y805" s="321" t="str">
        <f>IF(OR(W805=[22]Listas!$F$53,W805=[22]Listas!$F$54),[22]Listas!$G$53,IF(W805=[22]Listas!$F$55,[22]Listas!$G$55,""))</f>
        <v/>
      </c>
      <c r="Z805" s="319"/>
      <c r="AA805" s="182" t="str">
        <f>+IF(Z805=[22]Listas!$E$46,[22]Listas!$F$46,IF(Z805=[22]Listas!$E$47,[22]Listas!$F$47,""))</f>
        <v/>
      </c>
      <c r="AB805" s="183" t="str">
        <f t="shared" ref="AB805:AB811" si="123">IFERROR(X805+AA805,"")</f>
        <v/>
      </c>
      <c r="AC805" s="328"/>
      <c r="AD805" s="329"/>
      <c r="AE805" s="330"/>
      <c r="AF805" s="305" t="str">
        <f t="shared" si="117"/>
        <v>Baja</v>
      </c>
      <c r="AG805" s="145">
        <f>IF(Y805=[22]Listas!$G$53,AG804-(AG804*AB805),AG804)</f>
        <v>0.4</v>
      </c>
      <c r="AH805" s="562"/>
      <c r="AI805" s="305" t="str">
        <f t="shared" si="122"/>
        <v>Moderado</v>
      </c>
      <c r="AJ805" s="145">
        <f>IF(Y805=[22]Listas!$G$55,AJ804-(AJ804*AB805),AJ804)</f>
        <v>0.44999999999999996</v>
      </c>
      <c r="AK805" s="562"/>
      <c r="AL805" s="565"/>
      <c r="AM805" s="565"/>
      <c r="AN805" s="565"/>
      <c r="AO805" s="568"/>
      <c r="AP805" s="571"/>
      <c r="AQ805" s="344"/>
      <c r="AR805" s="191"/>
    </row>
    <row r="806" spans="2:44" ht="14.15" hidden="1" customHeight="1" thickTop="1" x14ac:dyDescent="0.35">
      <c r="B806" s="537"/>
      <c r="C806" s="280"/>
      <c r="D806" s="610" t="s">
        <v>909</v>
      </c>
      <c r="E806" s="577"/>
      <c r="F806" s="646"/>
      <c r="G806" s="675"/>
      <c r="H806" s="666"/>
      <c r="I806" s="589"/>
      <c r="J806" s="589"/>
      <c r="K806" s="592"/>
      <c r="L806" s="589"/>
      <c r="M806" s="595"/>
      <c r="N806" s="598"/>
      <c r="O806" s="601"/>
      <c r="P806" s="595"/>
      <c r="Q806" s="604"/>
      <c r="R806" s="601"/>
      <c r="S806" s="287"/>
      <c r="T806" s="604"/>
      <c r="U806" s="142" t="s">
        <v>198</v>
      </c>
      <c r="V806" s="418"/>
      <c r="W806" s="331"/>
      <c r="X806" s="320" t="str">
        <f>IF(W806=[22]Listas!$B$46,[22]Listas!$C$46,IF(W806=[22]Listas!$B$47,[22]Listas!$C$47,IF(W806=[22]Listas!$B$48,[22]Listas!$C$48,"")))</f>
        <v/>
      </c>
      <c r="Y806" s="321" t="str">
        <f>IF(OR(W806=[22]Listas!$F$53,W806=[22]Listas!$F$54),[22]Listas!$G$53,IF(W806=[22]Listas!$F$55,[22]Listas!$G$55,""))</f>
        <v/>
      </c>
      <c r="Z806" s="331"/>
      <c r="AA806" s="182" t="str">
        <f>+IF(Z806=[22]Listas!$E$46,[22]Listas!$F$46,IF(Z806=[22]Listas!$E$47,[22]Listas!$F$47,""))</f>
        <v/>
      </c>
      <c r="AB806" s="183" t="str">
        <f t="shared" si="123"/>
        <v/>
      </c>
      <c r="AC806" s="319"/>
      <c r="AD806" s="322"/>
      <c r="AE806" s="323"/>
      <c r="AF806" s="305" t="str">
        <f t="shared" si="117"/>
        <v>Baja</v>
      </c>
      <c r="AG806" s="145">
        <f>IF(Y806=[22]Listas!$G$53,AG805-(AG805*AB806),AG805)</f>
        <v>0.4</v>
      </c>
      <c r="AH806" s="562"/>
      <c r="AI806" s="305" t="str">
        <f t="shared" si="122"/>
        <v>Moderado</v>
      </c>
      <c r="AJ806" s="145">
        <f>IF(Y806=[22]Listas!$G$55,AJ805-(AJ805*AB806),AJ805)</f>
        <v>0.44999999999999996</v>
      </c>
      <c r="AK806" s="562"/>
      <c r="AL806" s="565"/>
      <c r="AM806" s="565"/>
      <c r="AN806" s="565"/>
      <c r="AO806" s="568"/>
      <c r="AP806" s="571"/>
      <c r="AQ806" s="345"/>
      <c r="AR806" s="191"/>
    </row>
    <row r="807" spans="2:44" ht="14.5" hidden="1" customHeight="1" thickTop="1" x14ac:dyDescent="0.35">
      <c r="B807" s="537"/>
      <c r="C807" s="280"/>
      <c r="D807" s="610" t="s">
        <v>909</v>
      </c>
      <c r="E807" s="577"/>
      <c r="F807" s="646"/>
      <c r="G807" s="675"/>
      <c r="H807" s="666"/>
      <c r="I807" s="589"/>
      <c r="J807" s="589"/>
      <c r="K807" s="592"/>
      <c r="L807" s="589"/>
      <c r="M807" s="595"/>
      <c r="N807" s="598"/>
      <c r="O807" s="601"/>
      <c r="P807" s="595"/>
      <c r="Q807" s="604"/>
      <c r="R807" s="601"/>
      <c r="S807" s="288"/>
      <c r="T807" s="604"/>
      <c r="U807" s="142" t="s">
        <v>208</v>
      </c>
      <c r="V807" s="418"/>
      <c r="W807" s="331"/>
      <c r="X807" s="320" t="str">
        <f>IF(W807=[22]Listas!$B$46,[22]Listas!$C$46,IF(W807=[22]Listas!$B$47,[22]Listas!$C$47,IF(W807=[22]Listas!$B$48,[22]Listas!$C$48,"")))</f>
        <v/>
      </c>
      <c r="Y807" s="321" t="str">
        <f>IF(OR(W807=[22]Listas!$F$53,W807=[22]Listas!$F$54),[22]Listas!$G$53,IF(W807=[22]Listas!$F$55,[22]Listas!$G$55,""))</f>
        <v/>
      </c>
      <c r="Z807" s="331"/>
      <c r="AA807" s="182" t="str">
        <f>+IF(Z807=[22]Listas!$E$46,[22]Listas!$F$46,IF(Z807=[22]Listas!$E$47,[22]Listas!$F$47,""))</f>
        <v/>
      </c>
      <c r="AB807" s="183" t="str">
        <f t="shared" si="123"/>
        <v/>
      </c>
      <c r="AC807" s="319"/>
      <c r="AD807" s="322"/>
      <c r="AE807" s="323"/>
      <c r="AF807" s="305" t="str">
        <f t="shared" si="117"/>
        <v>Baja</v>
      </c>
      <c r="AG807" s="145">
        <f>IF(Y807=[22]Listas!$G$53,AG806-(AG806*AB807),AG806)</f>
        <v>0.4</v>
      </c>
      <c r="AH807" s="562"/>
      <c r="AI807" s="305" t="str">
        <f t="shared" si="122"/>
        <v>Moderado</v>
      </c>
      <c r="AJ807" s="145">
        <f>IF(Y807=[22]Listas!$G$55,AJ806-(AJ806*AB807),AJ806)</f>
        <v>0.44999999999999996</v>
      </c>
      <c r="AK807" s="562"/>
      <c r="AL807" s="565"/>
      <c r="AM807" s="565"/>
      <c r="AN807" s="565"/>
      <c r="AO807" s="568"/>
      <c r="AP807" s="571"/>
      <c r="AQ807" s="343"/>
      <c r="AR807" s="191"/>
    </row>
    <row r="808" spans="2:44" ht="14.15" hidden="1" customHeight="1" thickTop="1" x14ac:dyDescent="0.35">
      <c r="B808" s="537"/>
      <c r="C808" s="280"/>
      <c r="D808" s="610" t="s">
        <v>909</v>
      </c>
      <c r="E808" s="577"/>
      <c r="F808" s="646"/>
      <c r="G808" s="675"/>
      <c r="H808" s="666"/>
      <c r="I808" s="589"/>
      <c r="J808" s="589"/>
      <c r="K808" s="592"/>
      <c r="L808" s="589"/>
      <c r="M808" s="595"/>
      <c r="N808" s="598"/>
      <c r="O808" s="601"/>
      <c r="P808" s="595"/>
      <c r="Q808" s="604"/>
      <c r="R808" s="601"/>
      <c r="S808" s="289"/>
      <c r="T808" s="604"/>
      <c r="U808" s="142" t="s">
        <v>215</v>
      </c>
      <c r="V808" s="418"/>
      <c r="W808" s="331"/>
      <c r="X808" s="320" t="str">
        <f>IF(W808=[22]Listas!$B$46,[22]Listas!$C$46,IF(W808=[22]Listas!$B$47,[22]Listas!$C$47,IF(W808=[22]Listas!$B$48,[22]Listas!$C$48,"")))</f>
        <v/>
      </c>
      <c r="Y808" s="321" t="str">
        <f>IF(OR(W808=[22]Listas!$F$53,W808=[22]Listas!$F$54),[22]Listas!$G$53,IF(W808=[22]Listas!$F$55,[22]Listas!$G$55,""))</f>
        <v/>
      </c>
      <c r="Z808" s="331"/>
      <c r="AA808" s="182" t="str">
        <f>+IF(Z808=[22]Listas!$E$46,[22]Listas!$F$46,IF(Z808=[22]Listas!$E$47,[22]Listas!$F$47,""))</f>
        <v/>
      </c>
      <c r="AB808" s="183" t="str">
        <f t="shared" si="123"/>
        <v/>
      </c>
      <c r="AC808" s="319"/>
      <c r="AD808" s="322"/>
      <c r="AE808" s="323"/>
      <c r="AF808" s="305" t="str">
        <f t="shared" si="117"/>
        <v>Baja</v>
      </c>
      <c r="AG808" s="145">
        <f>IF(Y808=[22]Listas!$G$53,AG807-(AG807*AB808),AG807)</f>
        <v>0.4</v>
      </c>
      <c r="AH808" s="562"/>
      <c r="AI808" s="305" t="str">
        <f t="shared" si="122"/>
        <v>Moderado</v>
      </c>
      <c r="AJ808" s="145">
        <f>IF(Y808=[22]Listas!$G$55,AJ807-(AJ807*AB808),AJ807)</f>
        <v>0.44999999999999996</v>
      </c>
      <c r="AK808" s="562"/>
      <c r="AL808" s="565"/>
      <c r="AM808" s="565"/>
      <c r="AN808" s="565"/>
      <c r="AO808" s="568"/>
      <c r="AP808" s="571"/>
      <c r="AQ808" s="343"/>
      <c r="AR808" s="191"/>
    </row>
    <row r="809" spans="2:44" ht="14.15" hidden="1" customHeight="1" thickTop="1" x14ac:dyDescent="0.35">
      <c r="B809" s="537"/>
      <c r="C809" s="280"/>
      <c r="D809" s="610" t="s">
        <v>909</v>
      </c>
      <c r="E809" s="577"/>
      <c r="F809" s="646"/>
      <c r="G809" s="675"/>
      <c r="H809" s="666"/>
      <c r="I809" s="589"/>
      <c r="J809" s="589"/>
      <c r="K809" s="592"/>
      <c r="L809" s="589"/>
      <c r="M809" s="595"/>
      <c r="N809" s="598"/>
      <c r="O809" s="601"/>
      <c r="P809" s="595"/>
      <c r="Q809" s="604"/>
      <c r="R809" s="601"/>
      <c r="S809" s="289"/>
      <c r="T809" s="604"/>
      <c r="U809" s="142" t="s">
        <v>220</v>
      </c>
      <c r="V809" s="418"/>
      <c r="W809" s="331"/>
      <c r="X809" s="320" t="str">
        <f>IF(W809=[22]Listas!$B$46,[22]Listas!$C$46,IF(W809=[22]Listas!$B$47,[22]Listas!$C$47,IF(W809=[22]Listas!$B$48,[22]Listas!$C$48,"")))</f>
        <v/>
      </c>
      <c r="Y809" s="321" t="str">
        <f>IF(OR(W809=[22]Listas!$F$53,W809=[22]Listas!$F$54),[22]Listas!$G$53,IF(W809=[22]Listas!$F$55,[22]Listas!$G$55,""))</f>
        <v/>
      </c>
      <c r="Z809" s="331"/>
      <c r="AA809" s="182" t="str">
        <f>+IF(Z809=[22]Listas!$E$46,[22]Listas!$F$46,IF(Z809=[22]Listas!$E$47,[22]Listas!$F$47,""))</f>
        <v/>
      </c>
      <c r="AB809" s="183" t="str">
        <f t="shared" si="123"/>
        <v/>
      </c>
      <c r="AC809" s="319"/>
      <c r="AD809" s="322"/>
      <c r="AE809" s="323"/>
      <c r="AF809" s="305" t="str">
        <f t="shared" si="117"/>
        <v>Baja</v>
      </c>
      <c r="AG809" s="145">
        <f>IF(Y809=[22]Listas!$G$53,AG808-(AG808*AB809),AG808)</f>
        <v>0.4</v>
      </c>
      <c r="AH809" s="562"/>
      <c r="AI809" s="305" t="str">
        <f t="shared" si="122"/>
        <v>Moderado</v>
      </c>
      <c r="AJ809" s="145">
        <f>IF(Y809=[22]Listas!$G$55,AJ808-(AJ808*AB809),AJ808)</f>
        <v>0.44999999999999996</v>
      </c>
      <c r="AK809" s="562"/>
      <c r="AL809" s="565"/>
      <c r="AM809" s="565"/>
      <c r="AN809" s="565"/>
      <c r="AO809" s="568"/>
      <c r="AP809" s="571"/>
      <c r="AQ809" s="343"/>
      <c r="AR809" s="191"/>
    </row>
    <row r="810" spans="2:44" ht="14.15" hidden="1" customHeight="1" thickTop="1" x14ac:dyDescent="0.35">
      <c r="B810" s="537"/>
      <c r="C810" s="280"/>
      <c r="D810" s="610" t="s">
        <v>909</v>
      </c>
      <c r="E810" s="577"/>
      <c r="F810" s="646"/>
      <c r="G810" s="675"/>
      <c r="H810" s="666"/>
      <c r="I810" s="589"/>
      <c r="J810" s="589"/>
      <c r="K810" s="592"/>
      <c r="L810" s="589"/>
      <c r="M810" s="595"/>
      <c r="N810" s="598"/>
      <c r="O810" s="601"/>
      <c r="P810" s="595"/>
      <c r="Q810" s="604"/>
      <c r="R810" s="601"/>
      <c r="S810" s="289"/>
      <c r="T810" s="604"/>
      <c r="U810" s="142" t="s">
        <v>223</v>
      </c>
      <c r="V810" s="418"/>
      <c r="W810" s="331"/>
      <c r="X810" s="320" t="str">
        <f>IF(W810=[22]Listas!$B$46,[22]Listas!$C$46,IF(W810=[22]Listas!$B$47,[22]Listas!$C$47,IF(W810=[22]Listas!$B$48,[22]Listas!$C$48,"")))</f>
        <v/>
      </c>
      <c r="Y810" s="321" t="str">
        <f>IF(OR(W810=[22]Listas!$F$53,W810=[22]Listas!$F$54),[22]Listas!$G$53,IF(W810=[22]Listas!$F$55,[22]Listas!$G$55,""))</f>
        <v/>
      </c>
      <c r="Z810" s="331"/>
      <c r="AA810" s="182" t="str">
        <f>+IF(Z810=[22]Listas!$E$46,[22]Listas!$F$46,IF(Z810=[22]Listas!$E$47,[22]Listas!$F$47,""))</f>
        <v/>
      </c>
      <c r="AB810" s="183" t="str">
        <f t="shared" si="123"/>
        <v/>
      </c>
      <c r="AC810" s="319"/>
      <c r="AD810" s="322"/>
      <c r="AE810" s="323"/>
      <c r="AF810" s="305" t="str">
        <f t="shared" si="117"/>
        <v>Baja</v>
      </c>
      <c r="AG810" s="145">
        <f>IF(Y810=[22]Listas!$G$53,AG809-(AG809*AB810),AG809)</f>
        <v>0.4</v>
      </c>
      <c r="AH810" s="562"/>
      <c r="AI810" s="305" t="str">
        <f t="shared" si="122"/>
        <v>Moderado</v>
      </c>
      <c r="AJ810" s="145">
        <f>IF(Y810=[22]Listas!$G$55,AJ809-(AJ809*AB810),AJ809)</f>
        <v>0.44999999999999996</v>
      </c>
      <c r="AK810" s="562"/>
      <c r="AL810" s="565"/>
      <c r="AM810" s="565"/>
      <c r="AN810" s="565"/>
      <c r="AO810" s="568"/>
      <c r="AP810" s="571"/>
      <c r="AQ810" s="343"/>
      <c r="AR810" s="191"/>
    </row>
    <row r="811" spans="2:44" ht="14.5" hidden="1" customHeight="1" thickTop="1" x14ac:dyDescent="0.35">
      <c r="B811" s="537"/>
      <c r="C811" s="280"/>
      <c r="D811" s="611" t="s">
        <v>909</v>
      </c>
      <c r="E811" s="578"/>
      <c r="F811" s="647"/>
      <c r="G811" s="676"/>
      <c r="H811" s="667"/>
      <c r="I811" s="590"/>
      <c r="J811" s="590"/>
      <c r="K811" s="593"/>
      <c r="L811" s="590"/>
      <c r="M811" s="596"/>
      <c r="N811" s="599"/>
      <c r="O811" s="602"/>
      <c r="P811" s="596"/>
      <c r="Q811" s="605"/>
      <c r="R811" s="602"/>
      <c r="S811" s="293"/>
      <c r="T811" s="605"/>
      <c r="U811" s="202" t="s">
        <v>224</v>
      </c>
      <c r="V811" s="416"/>
      <c r="W811" s="335"/>
      <c r="X811" s="336" t="str">
        <f>IF(W811=[22]Listas!$B$46,[22]Listas!$C$46,IF(W811=[22]Listas!$B$47,[22]Listas!$C$47,IF(W811=[22]Listas!$B$48,[22]Listas!$C$48,"")))</f>
        <v/>
      </c>
      <c r="Y811" s="337" t="str">
        <f>IF(OR(W811=[22]Listas!$F$53,W811=[22]Listas!$F$54),[22]Listas!$G$53,IF(W811=[22]Listas!$F$55,[22]Listas!$G$55,""))</f>
        <v/>
      </c>
      <c r="Z811" s="335"/>
      <c r="AA811" s="186" t="str">
        <f>+IF(Z811=[22]Listas!$E$46,[22]Listas!$F$46,IF(Z811=[22]Listas!$E$47,[22]Listas!$F$47,""))</f>
        <v/>
      </c>
      <c r="AB811" s="187" t="str">
        <f t="shared" si="123"/>
        <v/>
      </c>
      <c r="AC811" s="338"/>
      <c r="AD811" s="339"/>
      <c r="AE811" s="340"/>
      <c r="AF811" s="311" t="str">
        <f t="shared" si="117"/>
        <v>Baja</v>
      </c>
      <c r="AG811" s="179">
        <f>IF(Y811=[22]Listas!$G$53,AG810-(AG810*AB811),AG810)</f>
        <v>0.4</v>
      </c>
      <c r="AH811" s="563"/>
      <c r="AI811" s="311" t="str">
        <f t="shared" si="122"/>
        <v>Moderado</v>
      </c>
      <c r="AJ811" s="179">
        <f>IF(Y811=[22]Listas!$G$55,AJ810-(AJ810*AB811),AJ810)</f>
        <v>0.44999999999999996</v>
      </c>
      <c r="AK811" s="563"/>
      <c r="AL811" s="566"/>
      <c r="AM811" s="566"/>
      <c r="AN811" s="566"/>
      <c r="AO811" s="569"/>
      <c r="AP811" s="572"/>
      <c r="AQ811" s="359"/>
      <c r="AR811" s="192"/>
    </row>
    <row r="812" spans="2:44" ht="86.5" customHeight="1" thickTop="1" thickBot="1" x14ac:dyDescent="0.4">
      <c r="B812" s="537"/>
      <c r="C812" s="560" t="s">
        <v>111</v>
      </c>
      <c r="D812" s="609" t="s">
        <v>923</v>
      </c>
      <c r="E812" s="576" t="s">
        <v>4</v>
      </c>
      <c r="F812" s="624" t="s">
        <v>924</v>
      </c>
      <c r="G812" s="627" t="s">
        <v>925</v>
      </c>
      <c r="H812" s="627" t="s">
        <v>926</v>
      </c>
      <c r="I812" s="588" t="s">
        <v>20</v>
      </c>
      <c r="J812" s="588" t="s">
        <v>22</v>
      </c>
      <c r="K812" s="591" t="s">
        <v>927</v>
      </c>
      <c r="L812" s="588" t="s">
        <v>186</v>
      </c>
      <c r="M812" s="594" t="s">
        <v>197</v>
      </c>
      <c r="N812" s="597" t="str">
        <f>+IF(M812="","",IF(M812=$BO$15,$BN$15,IF(M812=$BO$16,$BN$16,IF(M812=$BO$17,$BN$17,IF(M812=$BO$18,$BN$18,IF(M812=$BO$19,$BN$19))))))</f>
        <v>Muy Baja</v>
      </c>
      <c r="O812" s="600">
        <f>+IF(M812="","",IF(M812=$BO$15,$BR$15,IF(M812=$BO$16,$BR$16,IF(M812=$BO$17,$BR$17,IF(M812=$BO$18,$BR$18,IF(M812=$BO$19,$BR$19))))))</f>
        <v>0.2</v>
      </c>
      <c r="P812" s="594" t="s">
        <v>212</v>
      </c>
      <c r="Q812" s="603" t="str">
        <f>+IF(P812="","",IF(P812='[23]Mapa de Calor inherente'!$AF$6,'[23]Mapa de Calor inherente'!$AD$6,IF(P812='[23]Mapa de Calor inherente'!$AF$7,'[23]Mapa de Calor inherente'!$AD$7,IF(P812='[23]Mapa de Calor inherente'!$AF$8,'[23]Mapa de Calor inherente'!$AD$8,IF(P812='[23]Mapa de Calor inherente'!$AF$9,'[23]Mapa de Calor inherente'!$AD$9,IF(P812='[23]Mapa de Calor inherente'!$AF$10,'[23]Mapa de Calor inherente'!$AD$10,IF(P812='[23]Mapa de Calor inherente'!$AG$6,'[23]Mapa de Calor inherente'!$AD$6,IF(P812='[23]Mapa de Calor inherente'!$AG$7,'[23]Mapa de Calor inherente'!$AD$7,IF(P812='[23]Mapa de Calor inherente'!$AG$8,'[23]Mapa de Calor inherente'!$AD$8,IF(P812='[23]Mapa de Calor inherente'!$AG$9,'[23]Mapa de Calor inherente'!$AD$9,IF(P812='[23]Mapa de Calor inherente'!$AG$10,'[23]Mapa de Calor inherente'!$AD$10,IF(P812='[23]Mapa de Calor inherente'!$AD$8,'[23]Mapa de Calor inherente'!$AD$8,IF(P812='[23]Mapa de Calor inherente'!$AD$9,'[23]Mapa de Calor inherente'!$AD$9,IF(P812='[23]Mapa de Calor inherente'!$AD$10,'[23]Mapa de Calor inherente'!$AD$10))))))))))))))</f>
        <v>Moderado</v>
      </c>
      <c r="R812" s="600">
        <f>+IF(P812="","",IF(P812='[23]Mapa de Calor inherente'!$AF$6,'[23]Mapa de Calor inherente'!$AE$6,IF(P812='[23]Mapa de Calor inherente'!$AF$7,'[23]Mapa de Calor inherente'!$AE$7,IF(P812='[23]Mapa de Calor inherente'!$AF$8,'[23]Mapa de Calor inherente'!$AE$8,IF(P812='[23]Mapa de Calor inherente'!$AF$9,'[23]Mapa de Calor inherente'!$AE$9,IF(P812='[23]Mapa de Calor inherente'!$AF$10,'[23]Mapa de Calor inherente'!$AE$10,IF(P812='[23]Mapa de Calor inherente'!$AG$6,'[23]Mapa de Calor inherente'!$AE$6,IF(P812='[23]Mapa de Calor inherente'!$AG$7,'[23]Mapa de Calor inherente'!$AE$7,IF(P812='[23]Mapa de Calor inherente'!$AG$8,'[23]Mapa de Calor inherente'!$AE$8,IF(P812='[23]Mapa de Calor inherente'!$AG$9,'[23]Mapa de Calor inherente'!$AE$9,IF(P812='[23]Mapa de Calor inherente'!$AG$10,'[23]Mapa de Calor inherente'!$AE$10,IF(P812='[23]Mapa de Calor inherente'!$AD$8,'[23]Mapa de Calor inherente'!$AE$8,IF(P812='[23]Mapa de Calor inherente'!$AD$9,'[23]Mapa de Calor inherente'!$AE$9,IF(P812='[23]Mapa de Calor inherente'!$AD$10,'[23]Mapa de Calor inherente'!$AE$10))))))))))))))</f>
        <v>0.6</v>
      </c>
      <c r="S812" s="292"/>
      <c r="T812" s="603" t="str">
        <f>+IF(N812=$BB$17,IF(Q812=$BC$16,$BC$17,IF(Q812=$BD$16,$BD$17,IF(Q812=$BE$16,$BE$17,IF(Q812=$BF$16,$BF$17,IF(Q812=$BG$16,$BG$17))))),IF(N812=$BB$18,IF(Q812=$BC$16,$BC$18,IF(Q812=$BD$16,$BD$18,IF(Q812=$BE$16,$BE$18,IF(Q812=$BF$16,$BF$18,IF(Q812=$BG$16,$BG$18))))),IF(N812=$BB$19,IF(Q812=$BC$16,$BC$19,IF(Q812=$BD$16,$BD$19,IF(Q812=$BE$16,$BE$19,IF(Q812=$BF$16,$BF$19,IF(Q812=$BG$16,$BG$19))))),IF(N812=$BB$20,IF(Q812=$BC$16,$BC$20,IF(Q812=$BD$16,$BD$20,IF(Q812=$BE$16,$BE$20,IF(Q812=$BF$16,$BF$20,IF(Q812=$BG$16,$BG$20))))),IF(N812=$BB$21,IF(Q812=$BC$16,$BC$21,IF(Q812=$BD$16,$BD$21,IF(Q812=$BE$16,$BE$21,IF(Q812=$BF$16,$BF$21,IF(Q812=$BG$16,$BG$21))))),"")))))</f>
        <v>Moderado</v>
      </c>
      <c r="U812" s="139" t="s">
        <v>171</v>
      </c>
      <c r="V812" s="455" t="s">
        <v>928</v>
      </c>
      <c r="W812" s="313" t="s">
        <v>40</v>
      </c>
      <c r="X812" s="314">
        <f>IF(W812=[23]Listas!$B$46,[23]Listas!$C$46,IF(W812=[23]Listas!$B$47,[23]Listas!$C$47,IF(W812=[23]Listas!$B$48,[23]Listas!$C$48,"")))</f>
        <v>0.25</v>
      </c>
      <c r="Y812" s="315" t="str">
        <f>IF(OR(W812=[23]Listas!$F$53,W812=[23]Listas!$F$54),[23]Listas!$G$53,IF(W812=[23]Listas!$F$55,[23]Listas!$G$55,""))</f>
        <v>Probabilidad</v>
      </c>
      <c r="Z812" s="313" t="s">
        <v>43</v>
      </c>
      <c r="AA812" s="314">
        <f>+IF(Z812=[23]Listas!$E$46,[23]Listas!$F$46,IF(Z812=[23]Listas!$E$47,[23]Listas!$F$47,""))</f>
        <v>0.15</v>
      </c>
      <c r="AB812" s="181">
        <f>IFERROR(X812+AA812,"")</f>
        <v>0.4</v>
      </c>
      <c r="AC812" s="313" t="s">
        <v>57</v>
      </c>
      <c r="AD812" s="313" t="s">
        <v>58</v>
      </c>
      <c r="AE812" s="317" t="s">
        <v>59</v>
      </c>
      <c r="AF812" s="299" t="str">
        <f t="shared" si="117"/>
        <v>Muy baja</v>
      </c>
      <c r="AG812" s="141">
        <f>IF(Y812=[23]Listas!$G$53,O812-(O812*AB812),O812)</f>
        <v>0.12</v>
      </c>
      <c r="AH812" s="561">
        <f>+IF(AG821="","",AG821)</f>
        <v>0.06</v>
      </c>
      <c r="AI812" s="299" t="str">
        <f>IF(AJ812="","",IF(AJ812&lt;=20%,"Leve",IF(AJ812&lt;=40%,"Menor",IF(AJ812&lt;=60%,"Moderado",IF(AJ812&lt;=80%,"Mayor","Catastrófico")))))</f>
        <v>Moderado</v>
      </c>
      <c r="AJ812" s="141">
        <f>IF(Y812=[23]Listas!$G$55,R812-(R812*AB812),R812)</f>
        <v>0.6</v>
      </c>
      <c r="AK812" s="561">
        <f>+IF(AJ821="","",AJ821)</f>
        <v>0.6</v>
      </c>
      <c r="AL812" s="564" t="str">
        <f>+IF(AH812=0,"",IF(AH812&lt;=$BA$21,$BB$21,IF(AH812&lt;=$BA$20,$BB$20,IF(AH812&lt;=$BA$19,$BB$19,IF(AH812&lt;=$BA$18,$BB$18,IF(AH812&lt;=$BA$17,$BB$17,""))))))</f>
        <v>Muy Baja</v>
      </c>
      <c r="AM812" s="564" t="str">
        <f>+IF(AK812=0,"",IF(AK812&lt;=$BC$15,$BC$16,IF(AK812&lt;=$BD$15,$BD$16,IF(AK812&lt;=$BE$15,$BE$16,IF(AK812&lt;=$BF$15,$BF$16,IF(AK812&lt;=$BG$15,$BG$16,""))))))</f>
        <v>Moderado</v>
      </c>
      <c r="AN812" s="564" t="str">
        <f>IF(AL812=$BB$17,IF(AM812=$BC$16,$BC$17,IF(AM812=$BD$16,$BD$17,IF(AM812=$BE$16,$BE$17,IF(AM812=$BF$16,$BF$17,IF(AM812=$BG$16,$BG$17))))),IF(AL812=$BB$18,IF(AM812=$BC$16,$BC$18,IF(AM812=$BD$16,$BD$18,IF(AM812=$BE$16,$BE$18,IF(AM812=$BF$16,$BF$18,IF(AM812=$BG$16,$BG$18))))),IF(AL812=$BB$19,IF(AM812=$BC$16,$BC$19,IF(AM812=$BD$16,$BD$19,IF(AM812=$BE$16,$BE$19,IF(AM812=$BF$16,$BF$19,IF(AM812=$BG$16,$BG$19))))),IF(AL812=$BB$20,IF(AM812=$BC$16,$BC$20,IF(AM812=$BD$16,$BD$20,IF(AM812=$BE$16,$BE$20,IF(AM812=$BF$16,$BF$20,IF(AM812=$BG$16,$BG$20))))),IF(AL812=$BB$21,IF(AM812=$BC$16,$BC$21,IF(AM812=$BD$16,$BD$21,IF(AM812=$BE$16,$BE$21,IF(AM812=$BF$16,$BF$21,IF(AM812=$BG$16,$BG$21))))),"")))))</f>
        <v>Moderado</v>
      </c>
      <c r="AO812" s="567" t="str">
        <f>IF(AP812="","",IF(AP812=[23]Listas!$F$61,[23]Listas!$G$61,IF(AP812=[23]Listas!$F$63,[23]Listas!$G$63,IF(AP812=[23]Listas!$F$64,[23]Listas!$G$64))))</f>
        <v>Requiere Plan de Acción</v>
      </c>
      <c r="AP812" s="570" t="str">
        <f>IF(AN812="","",IF(OR(AN812=[23]Listas!$E$61,AN812=[23]Listas!$E$62),[23]Listas!$F$61,IF(AN812=[23]Listas!$E$63,[23]Listas!$F$63,IF(AN812=[23]Listas!$E$64,[23]Listas!$F$64))))</f>
        <v>Aceptar o reducir el riesgo</v>
      </c>
      <c r="AQ812" s="342" t="s">
        <v>80</v>
      </c>
      <c r="AR812" s="119" t="s">
        <v>929</v>
      </c>
    </row>
    <row r="813" spans="2:44" ht="108" customHeight="1" thickTop="1" thickBot="1" x14ac:dyDescent="0.4">
      <c r="B813" s="537"/>
      <c r="C813" s="560"/>
      <c r="D813" s="610"/>
      <c r="E813" s="577"/>
      <c r="F813" s="625"/>
      <c r="G813" s="628"/>
      <c r="H813" s="628"/>
      <c r="I813" s="589"/>
      <c r="J813" s="589"/>
      <c r="K813" s="592"/>
      <c r="L813" s="589"/>
      <c r="M813" s="595"/>
      <c r="N813" s="598"/>
      <c r="O813" s="601"/>
      <c r="P813" s="595"/>
      <c r="Q813" s="604"/>
      <c r="R813" s="601"/>
      <c r="S813" s="286"/>
      <c r="T813" s="604"/>
      <c r="U813" s="142" t="s">
        <v>174</v>
      </c>
      <c r="V813" s="418" t="s">
        <v>930</v>
      </c>
      <c r="W813" s="319" t="s">
        <v>40</v>
      </c>
      <c r="X813" s="320">
        <f>IF(W813=[23]Listas!$B$46,[23]Listas!$C$46,IF(W813=[23]Listas!$B$47,[23]Listas!$C$47,IF(W813=[23]Listas!$B$48,[23]Listas!$C$48,"")))</f>
        <v>0.25</v>
      </c>
      <c r="Y813" s="321" t="str">
        <f>IF(OR(W813=[23]Listas!$F$53,W813=[23]Listas!$F$54),[23]Listas!$G$53,IF(W813=[23]Listas!$F$55,[23]Listas!$G$55,""))</f>
        <v>Probabilidad</v>
      </c>
      <c r="Z813" s="319" t="s">
        <v>41</v>
      </c>
      <c r="AA813" s="182">
        <f>+IF(Z813=[23]Listas!$E$46,[23]Listas!$F$46,IF(Z813=[23]Listas!$E$47,[23]Listas!$F$47,""))</f>
        <v>0.25</v>
      </c>
      <c r="AB813" s="183">
        <f>IFERROR(X813+AA813,"")</f>
        <v>0.5</v>
      </c>
      <c r="AC813" s="319" t="s">
        <v>57</v>
      </c>
      <c r="AD813" s="319" t="s">
        <v>58</v>
      </c>
      <c r="AE813" s="323" t="s">
        <v>59</v>
      </c>
      <c r="AF813" s="305" t="str">
        <f t="shared" si="117"/>
        <v>Muy baja</v>
      </c>
      <c r="AG813" s="145">
        <f>IF(Y813=[23]Listas!$G$53,AG812-(AG812*AB813),AG812)</f>
        <v>0.06</v>
      </c>
      <c r="AH813" s="562"/>
      <c r="AI813" s="305" t="str">
        <f t="shared" ref="AI813:AI851" si="124">IF(AJ813="","",IF(AJ813&lt;=20%,"Leve",IF(AJ813&lt;=40%,"Menor",IF(AJ813&lt;=60%,"Moderado",IF(AJ813&lt;=80%,"Mayor","Catastrófico")))))</f>
        <v>Moderado</v>
      </c>
      <c r="AJ813" s="145">
        <f>IF(Y813=[23]Listas!$G$55,AJ812-(AJ812*AB813),AJ812)</f>
        <v>0.6</v>
      </c>
      <c r="AK813" s="562"/>
      <c r="AL813" s="565"/>
      <c r="AM813" s="565"/>
      <c r="AN813" s="565"/>
      <c r="AO813" s="568"/>
      <c r="AP813" s="571"/>
      <c r="AQ813" s="344" t="s">
        <v>90</v>
      </c>
      <c r="AR813" s="185" t="s">
        <v>931</v>
      </c>
    </row>
    <row r="814" spans="2:44" ht="15.65" hidden="1" customHeight="1" thickBot="1" x14ac:dyDescent="0.4">
      <c r="B814" s="537"/>
      <c r="C814" s="560"/>
      <c r="D814" s="610"/>
      <c r="E814" s="577"/>
      <c r="F814" s="625"/>
      <c r="G814" s="628"/>
      <c r="H814" s="628"/>
      <c r="I814" s="589"/>
      <c r="J814" s="589"/>
      <c r="K814" s="592"/>
      <c r="L814" s="589"/>
      <c r="M814" s="595"/>
      <c r="N814" s="598"/>
      <c r="O814" s="601"/>
      <c r="P814" s="595"/>
      <c r="Q814" s="604"/>
      <c r="R814" s="601"/>
      <c r="S814" s="287"/>
      <c r="T814" s="604"/>
      <c r="U814" s="142" t="s">
        <v>180</v>
      </c>
      <c r="V814" s="415"/>
      <c r="W814" s="319"/>
      <c r="X814" s="320" t="str">
        <f>IF(W814=[23]Listas!$B$46,[23]Listas!$C$46,IF(W814=[23]Listas!$B$47,[23]Listas!$C$47,IF(W814=[23]Listas!$B$48,[23]Listas!$C$48,"")))</f>
        <v/>
      </c>
      <c r="Y814" s="321" t="str">
        <f>IF(OR(W814=[23]Listas!$F$53,W814=[23]Listas!$F$54),[23]Listas!$G$53,IF(W814=[23]Listas!$F$55,[23]Listas!$G$55,""))</f>
        <v/>
      </c>
      <c r="Z814" s="319"/>
      <c r="AA814" s="182" t="str">
        <f>+IF(Z814=[23]Listas!$E$46,[23]Listas!$F$46,IF(Z814=[23]Listas!$E$47,[23]Listas!$F$47,""))</f>
        <v/>
      </c>
      <c r="AB814" s="183" t="str">
        <f>IFERROR(X814+AA814,"")</f>
        <v/>
      </c>
      <c r="AC814" s="319"/>
      <c r="AD814" s="322"/>
      <c r="AE814" s="323"/>
      <c r="AF814" s="305" t="str">
        <f t="shared" si="117"/>
        <v>Muy baja</v>
      </c>
      <c r="AG814" s="145">
        <f>IF(Y814=[23]Listas!$G$53,AG813-(AG813*AB814),AG813)</f>
        <v>0.06</v>
      </c>
      <c r="AH814" s="562"/>
      <c r="AI814" s="305" t="str">
        <f t="shared" si="124"/>
        <v>Moderado</v>
      </c>
      <c r="AJ814" s="145">
        <f>IF(Y814=[23]Listas!$G$55,AJ813-(AJ813*AB814),AJ813)</f>
        <v>0.6</v>
      </c>
      <c r="AK814" s="562"/>
      <c r="AL814" s="565"/>
      <c r="AM814" s="565"/>
      <c r="AN814" s="565"/>
      <c r="AO814" s="568"/>
      <c r="AP814" s="571"/>
      <c r="AQ814" s="344"/>
      <c r="AR814" s="191"/>
    </row>
    <row r="815" spans="2:44" ht="15.65" hidden="1" customHeight="1" thickTop="1" x14ac:dyDescent="0.35">
      <c r="B815" s="537"/>
      <c r="C815" s="560"/>
      <c r="D815" s="610"/>
      <c r="E815" s="577"/>
      <c r="F815" s="625"/>
      <c r="G815" s="628"/>
      <c r="H815" s="628"/>
      <c r="I815" s="589"/>
      <c r="J815" s="589"/>
      <c r="K815" s="592"/>
      <c r="L815" s="589"/>
      <c r="M815" s="595"/>
      <c r="N815" s="598"/>
      <c r="O815" s="601"/>
      <c r="P815" s="595"/>
      <c r="Q815" s="604"/>
      <c r="R815" s="601"/>
      <c r="S815" s="287"/>
      <c r="T815" s="604"/>
      <c r="U815" s="142" t="s">
        <v>190</v>
      </c>
      <c r="V815" s="415"/>
      <c r="W815" s="319"/>
      <c r="X815" s="320" t="str">
        <f>IF(W815=[23]Listas!$B$46,[23]Listas!$C$46,IF(W815=[23]Listas!$B$47,[23]Listas!$C$47,IF(W815=[23]Listas!$B$48,[23]Listas!$C$48,"")))</f>
        <v/>
      </c>
      <c r="Y815" s="321" t="str">
        <f>IF(OR(W815=[23]Listas!$F$53,W815=[23]Listas!$F$54),[23]Listas!$G$53,IF(W815=[23]Listas!$F$55,[23]Listas!$G$55,""))</f>
        <v/>
      </c>
      <c r="Z815" s="319"/>
      <c r="AA815" s="182" t="str">
        <f>+IF(Z815=[23]Listas!$E$46,[23]Listas!$F$46,IF(Z815=[23]Listas!$E$47,[23]Listas!$F$47,""))</f>
        <v/>
      </c>
      <c r="AB815" s="183" t="str">
        <f t="shared" ref="AB815:AB821" si="125">IFERROR(X815+AA815,"")</f>
        <v/>
      </c>
      <c r="AC815" s="319"/>
      <c r="AD815" s="322"/>
      <c r="AE815" s="323"/>
      <c r="AF815" s="305" t="str">
        <f t="shared" si="117"/>
        <v>Muy baja</v>
      </c>
      <c r="AG815" s="145">
        <f>IF(Y815=[23]Listas!$G$53,AG814-(AG814*AB815),AG814)</f>
        <v>0.06</v>
      </c>
      <c r="AH815" s="562"/>
      <c r="AI815" s="305" t="str">
        <f t="shared" si="124"/>
        <v>Moderado</v>
      </c>
      <c r="AJ815" s="145">
        <f>IF(Y815=[23]Listas!$G$55,AJ814-(AJ814*AB815),AJ814)</f>
        <v>0.6</v>
      </c>
      <c r="AK815" s="562"/>
      <c r="AL815" s="565"/>
      <c r="AM815" s="565"/>
      <c r="AN815" s="565"/>
      <c r="AO815" s="568"/>
      <c r="AP815" s="571"/>
      <c r="AQ815" s="344"/>
      <c r="AR815" s="191"/>
    </row>
    <row r="816" spans="2:44" ht="15.65" hidden="1" customHeight="1" thickTop="1" x14ac:dyDescent="0.35">
      <c r="B816" s="537"/>
      <c r="C816" s="560"/>
      <c r="D816" s="610"/>
      <c r="E816" s="577"/>
      <c r="F816" s="625"/>
      <c r="G816" s="628"/>
      <c r="H816" s="628"/>
      <c r="I816" s="589"/>
      <c r="J816" s="589"/>
      <c r="K816" s="592"/>
      <c r="L816" s="589"/>
      <c r="M816" s="595"/>
      <c r="N816" s="598"/>
      <c r="O816" s="601"/>
      <c r="P816" s="595"/>
      <c r="Q816" s="604"/>
      <c r="R816" s="601"/>
      <c r="S816" s="287"/>
      <c r="T816" s="604"/>
      <c r="U816" s="142" t="s">
        <v>198</v>
      </c>
      <c r="V816" s="415"/>
      <c r="W816" s="319"/>
      <c r="X816" s="320" t="str">
        <f>IF(W816=[23]Listas!$B$46,[23]Listas!$C$46,IF(W816=[23]Listas!$B$47,[23]Listas!$C$47,IF(W816=[23]Listas!$B$48,[23]Listas!$C$48,"")))</f>
        <v/>
      </c>
      <c r="Y816" s="321" t="str">
        <f>IF(OR(W816=[23]Listas!$F$53,W816=[23]Listas!$F$54),[23]Listas!$G$53,IF(W816=[23]Listas!$F$55,[23]Listas!$G$55,""))</f>
        <v/>
      </c>
      <c r="Z816" s="319"/>
      <c r="AA816" s="182" t="str">
        <f>+IF(Z816=[23]Listas!$E$46,[23]Listas!$F$46,IF(Z816=[23]Listas!$E$47,[23]Listas!$F$47,""))</f>
        <v/>
      </c>
      <c r="AB816" s="183" t="str">
        <f t="shared" si="125"/>
        <v/>
      </c>
      <c r="AC816" s="319"/>
      <c r="AD816" s="322"/>
      <c r="AE816" s="323"/>
      <c r="AF816" s="305" t="str">
        <f t="shared" si="117"/>
        <v>Muy baja</v>
      </c>
      <c r="AG816" s="145">
        <f>IF(Y816=[23]Listas!$G$53,AG815-(AG815*AB816),AG815)</f>
        <v>0.06</v>
      </c>
      <c r="AH816" s="562"/>
      <c r="AI816" s="305" t="str">
        <f t="shared" si="124"/>
        <v>Moderado</v>
      </c>
      <c r="AJ816" s="145">
        <f>IF(Y816=[23]Listas!$G$55,AJ815-(AJ815*AB816),AJ815)</f>
        <v>0.6</v>
      </c>
      <c r="AK816" s="562"/>
      <c r="AL816" s="565"/>
      <c r="AM816" s="565"/>
      <c r="AN816" s="565"/>
      <c r="AO816" s="568"/>
      <c r="AP816" s="571"/>
      <c r="AQ816" s="344"/>
      <c r="AR816" s="191"/>
    </row>
    <row r="817" spans="2:44" ht="16" hidden="1" customHeight="1" thickTop="1" x14ac:dyDescent="0.35">
      <c r="B817" s="537"/>
      <c r="C817" s="560"/>
      <c r="D817" s="610"/>
      <c r="E817" s="577"/>
      <c r="F817" s="625"/>
      <c r="G817" s="628"/>
      <c r="H817" s="628"/>
      <c r="I817" s="589"/>
      <c r="J817" s="589"/>
      <c r="K817" s="592"/>
      <c r="L817" s="589"/>
      <c r="M817" s="595"/>
      <c r="N817" s="598"/>
      <c r="O817" s="601"/>
      <c r="P817" s="595"/>
      <c r="Q817" s="604"/>
      <c r="R817" s="601"/>
      <c r="S817" s="288"/>
      <c r="T817" s="604"/>
      <c r="U817" s="142" t="s">
        <v>208</v>
      </c>
      <c r="V817" s="415"/>
      <c r="W817" s="319"/>
      <c r="X817" s="320" t="str">
        <f>IF(W817=[23]Listas!$B$46,[23]Listas!$C$46,IF(W817=[23]Listas!$B$47,[23]Listas!$C$47,IF(W817=[23]Listas!$B$48,[23]Listas!$C$48,"")))</f>
        <v/>
      </c>
      <c r="Y817" s="321" t="str">
        <f>IF(OR(W817=[23]Listas!$F$53,W817=[23]Listas!$F$54),[23]Listas!$G$53,IF(W817=[23]Listas!$F$55,[23]Listas!$G$55,""))</f>
        <v/>
      </c>
      <c r="Z817" s="319"/>
      <c r="AA817" s="182" t="str">
        <f>+IF(Z817=[23]Listas!$E$46,[23]Listas!$F$46,IF(Z817=[23]Listas!$E$47,[23]Listas!$F$47,""))</f>
        <v/>
      </c>
      <c r="AB817" s="183" t="str">
        <f t="shared" si="125"/>
        <v/>
      </c>
      <c r="AC817" s="319"/>
      <c r="AD817" s="322"/>
      <c r="AE817" s="323"/>
      <c r="AF817" s="305" t="str">
        <f t="shared" si="117"/>
        <v>Muy baja</v>
      </c>
      <c r="AG817" s="145">
        <f>IF(Y817=[23]Listas!$G$53,AG816-(AG816*AB817),AG816)</f>
        <v>0.06</v>
      </c>
      <c r="AH817" s="562"/>
      <c r="AI817" s="305" t="str">
        <f t="shared" si="124"/>
        <v>Moderado</v>
      </c>
      <c r="AJ817" s="145">
        <f>IF(Y817=[23]Listas!$G$55,AJ816-(AJ816*AB817),AJ816)</f>
        <v>0.6</v>
      </c>
      <c r="AK817" s="562"/>
      <c r="AL817" s="565"/>
      <c r="AM817" s="565"/>
      <c r="AN817" s="565"/>
      <c r="AO817" s="568"/>
      <c r="AP817" s="571"/>
      <c r="AQ817" s="344"/>
      <c r="AR817" s="191"/>
    </row>
    <row r="818" spans="2:44" ht="15.65" hidden="1" customHeight="1" thickTop="1" x14ac:dyDescent="0.35">
      <c r="B818" s="537"/>
      <c r="C818" s="560"/>
      <c r="D818" s="610"/>
      <c r="E818" s="577"/>
      <c r="F818" s="625"/>
      <c r="G818" s="628"/>
      <c r="H818" s="628"/>
      <c r="I818" s="589"/>
      <c r="J818" s="589"/>
      <c r="K818" s="592"/>
      <c r="L818" s="589"/>
      <c r="M818" s="595"/>
      <c r="N818" s="598"/>
      <c r="O818" s="601"/>
      <c r="P818" s="595"/>
      <c r="Q818" s="604"/>
      <c r="R818" s="601"/>
      <c r="S818" s="289"/>
      <c r="T818" s="604"/>
      <c r="U818" s="142" t="s">
        <v>215</v>
      </c>
      <c r="V818" s="418"/>
      <c r="W818" s="331"/>
      <c r="X818" s="320" t="str">
        <f>IF(W818=[23]Listas!$B$46,[23]Listas!$C$46,IF(W818=[23]Listas!$B$47,[23]Listas!$C$47,IF(W818=[23]Listas!$B$48,[23]Listas!$C$48,"")))</f>
        <v/>
      </c>
      <c r="Y818" s="321" t="str">
        <f>IF(OR(W818=[23]Listas!$F$53,W818=[23]Listas!$F$54),[23]Listas!$G$53,IF(W818=[23]Listas!$F$55,[23]Listas!$G$55,""))</f>
        <v/>
      </c>
      <c r="Z818" s="331"/>
      <c r="AA818" s="182" t="str">
        <f>+IF(Z818=[23]Listas!$E$46,[23]Listas!$F$46,IF(Z818=[23]Listas!$E$47,[23]Listas!$F$47,""))</f>
        <v/>
      </c>
      <c r="AB818" s="183" t="str">
        <f t="shared" si="125"/>
        <v/>
      </c>
      <c r="AC818" s="319"/>
      <c r="AD818" s="322"/>
      <c r="AE818" s="323"/>
      <c r="AF818" s="305" t="str">
        <f t="shared" si="117"/>
        <v>Muy baja</v>
      </c>
      <c r="AG818" s="145">
        <f>IF(Y818=[23]Listas!$G$53,AG817-(AG817*AB818),AG817)</f>
        <v>0.06</v>
      </c>
      <c r="AH818" s="562"/>
      <c r="AI818" s="305" t="str">
        <f t="shared" si="124"/>
        <v>Moderado</v>
      </c>
      <c r="AJ818" s="145">
        <f>IF(Y818=[23]Listas!$G$55,AJ817-(AJ817*AB818),AJ817)</f>
        <v>0.6</v>
      </c>
      <c r="AK818" s="562"/>
      <c r="AL818" s="565"/>
      <c r="AM818" s="565"/>
      <c r="AN818" s="565"/>
      <c r="AO818" s="568"/>
      <c r="AP818" s="571"/>
      <c r="AQ818" s="344"/>
      <c r="AR818" s="191"/>
    </row>
    <row r="819" spans="2:44" ht="15.65" hidden="1" customHeight="1" thickTop="1" x14ac:dyDescent="0.35">
      <c r="B819" s="537"/>
      <c r="C819" s="560"/>
      <c r="D819" s="610"/>
      <c r="E819" s="577"/>
      <c r="F819" s="625"/>
      <c r="G819" s="628"/>
      <c r="H819" s="628"/>
      <c r="I819" s="589"/>
      <c r="J819" s="589"/>
      <c r="K819" s="592"/>
      <c r="L819" s="589"/>
      <c r="M819" s="595"/>
      <c r="N819" s="598"/>
      <c r="O819" s="601"/>
      <c r="P819" s="595"/>
      <c r="Q819" s="604"/>
      <c r="R819" s="601"/>
      <c r="S819" s="289"/>
      <c r="T819" s="604"/>
      <c r="U819" s="142" t="s">
        <v>220</v>
      </c>
      <c r="V819" s="418"/>
      <c r="W819" s="331"/>
      <c r="X819" s="320" t="str">
        <f>IF(W819=[23]Listas!$B$46,[23]Listas!$C$46,IF(W819=[23]Listas!$B$47,[23]Listas!$C$47,IF(W819=[23]Listas!$B$48,[23]Listas!$C$48,"")))</f>
        <v/>
      </c>
      <c r="Y819" s="321" t="str">
        <f>IF(OR(W819=[23]Listas!$F$53,W819=[23]Listas!$F$54),[23]Listas!$G$53,IF(W819=[23]Listas!$F$55,[23]Listas!$G$55,""))</f>
        <v/>
      </c>
      <c r="Z819" s="331"/>
      <c r="AA819" s="182" t="str">
        <f>+IF(Z819=[23]Listas!$E$46,[23]Listas!$F$46,IF(Z819=[23]Listas!$E$47,[23]Listas!$F$47,""))</f>
        <v/>
      </c>
      <c r="AB819" s="183" t="str">
        <f t="shared" si="125"/>
        <v/>
      </c>
      <c r="AC819" s="319"/>
      <c r="AD819" s="322"/>
      <c r="AE819" s="323"/>
      <c r="AF819" s="305" t="str">
        <f t="shared" si="117"/>
        <v>Muy baja</v>
      </c>
      <c r="AG819" s="145">
        <f>IF(Y819=[23]Listas!$G$53,AG818-(AG818*AB819),AG818)</f>
        <v>0.06</v>
      </c>
      <c r="AH819" s="562"/>
      <c r="AI819" s="305" t="str">
        <f t="shared" si="124"/>
        <v>Moderado</v>
      </c>
      <c r="AJ819" s="145">
        <f>IF(Y819=[23]Listas!$G$55,AJ818-(AJ818*AB819),AJ818)</f>
        <v>0.6</v>
      </c>
      <c r="AK819" s="562"/>
      <c r="AL819" s="565"/>
      <c r="AM819" s="565"/>
      <c r="AN819" s="565"/>
      <c r="AO819" s="568"/>
      <c r="AP819" s="571"/>
      <c r="AQ819" s="344"/>
      <c r="AR819" s="191"/>
    </row>
    <row r="820" spans="2:44" ht="15.65" hidden="1" customHeight="1" thickTop="1" x14ac:dyDescent="0.35">
      <c r="B820" s="537"/>
      <c r="C820" s="560"/>
      <c r="D820" s="610"/>
      <c r="E820" s="577"/>
      <c r="F820" s="625"/>
      <c r="G820" s="628"/>
      <c r="H820" s="628"/>
      <c r="I820" s="589"/>
      <c r="J820" s="589"/>
      <c r="K820" s="592"/>
      <c r="L820" s="589"/>
      <c r="M820" s="595"/>
      <c r="N820" s="598"/>
      <c r="O820" s="601"/>
      <c r="P820" s="595"/>
      <c r="Q820" s="604"/>
      <c r="R820" s="601"/>
      <c r="S820" s="289"/>
      <c r="T820" s="604"/>
      <c r="U820" s="142" t="s">
        <v>223</v>
      </c>
      <c r="V820" s="418"/>
      <c r="W820" s="331"/>
      <c r="X820" s="320" t="str">
        <f>IF(W820=[23]Listas!$B$46,[23]Listas!$C$46,IF(W820=[23]Listas!$B$47,[23]Listas!$C$47,IF(W820=[23]Listas!$B$48,[23]Listas!$C$48,"")))</f>
        <v/>
      </c>
      <c r="Y820" s="321" t="str">
        <f>IF(OR(W820=[23]Listas!$F$53,W820=[23]Listas!$F$54),[23]Listas!$G$53,IF(W820=[23]Listas!$F$55,[23]Listas!$G$55,""))</f>
        <v/>
      </c>
      <c r="Z820" s="331"/>
      <c r="AA820" s="182" t="str">
        <f>+IF(Z820=[23]Listas!$E$46,[23]Listas!$F$46,IF(Z820=[23]Listas!$E$47,[23]Listas!$F$47,""))</f>
        <v/>
      </c>
      <c r="AB820" s="183" t="str">
        <f t="shared" si="125"/>
        <v/>
      </c>
      <c r="AC820" s="319"/>
      <c r="AD820" s="322"/>
      <c r="AE820" s="323"/>
      <c r="AF820" s="305" t="str">
        <f t="shared" si="117"/>
        <v>Muy baja</v>
      </c>
      <c r="AG820" s="145">
        <f>IF(Y820=[23]Listas!$G$53,AG819-(AG819*AB820),AG819)</f>
        <v>0.06</v>
      </c>
      <c r="AH820" s="562"/>
      <c r="AI820" s="305" t="str">
        <f t="shared" si="124"/>
        <v>Moderado</v>
      </c>
      <c r="AJ820" s="145">
        <f>IF(Y820=[23]Listas!$G$55,AJ819-(AJ819*AB820),AJ819)</f>
        <v>0.6</v>
      </c>
      <c r="AK820" s="562"/>
      <c r="AL820" s="565"/>
      <c r="AM820" s="565"/>
      <c r="AN820" s="565"/>
      <c r="AO820" s="568"/>
      <c r="AP820" s="571"/>
      <c r="AQ820" s="344"/>
      <c r="AR820" s="191"/>
    </row>
    <row r="821" spans="2:44" ht="16" hidden="1" customHeight="1" thickTop="1" x14ac:dyDescent="0.35">
      <c r="B821" s="537"/>
      <c r="C821" s="560"/>
      <c r="D821" s="611"/>
      <c r="E821" s="578"/>
      <c r="F821" s="626"/>
      <c r="G821" s="629"/>
      <c r="H821" s="629"/>
      <c r="I821" s="590"/>
      <c r="J821" s="590"/>
      <c r="K821" s="593"/>
      <c r="L821" s="590"/>
      <c r="M821" s="596"/>
      <c r="N821" s="599"/>
      <c r="O821" s="602"/>
      <c r="P821" s="596"/>
      <c r="Q821" s="605"/>
      <c r="R821" s="602"/>
      <c r="S821" s="293"/>
      <c r="T821" s="605"/>
      <c r="U821" s="202" t="s">
        <v>224</v>
      </c>
      <c r="V821" s="416"/>
      <c r="W821" s="335"/>
      <c r="X821" s="336" t="str">
        <f>IF(W821=[23]Listas!$B$46,[23]Listas!$C$46,IF(W821=[23]Listas!$B$47,[23]Listas!$C$47,IF(W821=[23]Listas!$B$48,[23]Listas!$C$48,"")))</f>
        <v/>
      </c>
      <c r="Y821" s="337" t="str">
        <f>IF(OR(W821=[23]Listas!$F$53,W821=[23]Listas!$F$54),[23]Listas!$G$53,IF(W821=[23]Listas!$F$55,[23]Listas!$G$55,""))</f>
        <v/>
      </c>
      <c r="Z821" s="335"/>
      <c r="AA821" s="186" t="str">
        <f>+IF(Z821=[23]Listas!$E$46,[23]Listas!$F$46,IF(Z821=[23]Listas!$E$47,[23]Listas!$F$47,""))</f>
        <v/>
      </c>
      <c r="AB821" s="187" t="str">
        <f t="shared" si="125"/>
        <v/>
      </c>
      <c r="AC821" s="338"/>
      <c r="AD821" s="339"/>
      <c r="AE821" s="340"/>
      <c r="AF821" s="311" t="str">
        <f t="shared" si="117"/>
        <v>Muy baja</v>
      </c>
      <c r="AG821" s="179">
        <f>IF(Y821=[23]Listas!$G$53,AG820-(AG820*AB821),AG820)</f>
        <v>0.06</v>
      </c>
      <c r="AH821" s="563"/>
      <c r="AI821" s="311" t="str">
        <f t="shared" si="124"/>
        <v>Moderado</v>
      </c>
      <c r="AJ821" s="179">
        <f>IF(Y821=[23]Listas!$G$55,AJ820-(AJ820*AB821),AJ820)</f>
        <v>0.6</v>
      </c>
      <c r="AK821" s="563"/>
      <c r="AL821" s="566"/>
      <c r="AM821" s="566"/>
      <c r="AN821" s="566"/>
      <c r="AO821" s="569"/>
      <c r="AP821" s="572"/>
      <c r="AQ821" s="346"/>
      <c r="AR821" s="192"/>
    </row>
    <row r="822" spans="2:44" ht="105.65" customHeight="1" thickTop="1" thickBot="1" x14ac:dyDescent="0.4">
      <c r="B822" s="537"/>
      <c r="C822" s="560"/>
      <c r="D822" s="609" t="s">
        <v>932</v>
      </c>
      <c r="E822" s="576" t="s">
        <v>4</v>
      </c>
      <c r="F822" s="624" t="s">
        <v>933</v>
      </c>
      <c r="G822" s="671" t="s">
        <v>934</v>
      </c>
      <c r="H822" s="671" t="s">
        <v>935</v>
      </c>
      <c r="I822" s="588" t="s">
        <v>20</v>
      </c>
      <c r="J822" s="588" t="s">
        <v>22</v>
      </c>
      <c r="K822" s="591"/>
      <c r="L822" s="588" t="s">
        <v>186</v>
      </c>
      <c r="M822" s="594" t="s">
        <v>207</v>
      </c>
      <c r="N822" s="597" t="str">
        <f>+IF(M822="","",IF(M822=$BO$15,$BN$15,IF(M822=$BO$16,$BN$16,IF(M822=$BO$17,$BN$17,IF(M822=$BO$18,$BN$18,IF(M822=$BO$19,$BN$19))))))</f>
        <v>Baja</v>
      </c>
      <c r="O822" s="600">
        <f>+IF(M822="","",IF(M822=$BO$15,$BR$15,IF(M822=$BO$16,$BR$16,IF(M822=$BO$17,$BR$17,IF(M822=$BO$18,$BR$18,IF(M822=$BO$19,$BR$19))))))</f>
        <v>0.4</v>
      </c>
      <c r="P822" s="594" t="s">
        <v>212</v>
      </c>
      <c r="Q822" s="603" t="str">
        <f>+IF(P822="","",IF(P822='[23]Mapa de Calor inherente'!$AF$6,'[23]Mapa de Calor inherente'!$AD$6,IF(P822='[23]Mapa de Calor inherente'!$AF$7,'[23]Mapa de Calor inherente'!$AD$7,IF(P822='[23]Mapa de Calor inherente'!$AF$8,'[23]Mapa de Calor inherente'!$AD$8,IF(P822='[23]Mapa de Calor inherente'!$AF$9,'[23]Mapa de Calor inherente'!$AD$9,IF(P822='[23]Mapa de Calor inherente'!$AF$10,'[23]Mapa de Calor inherente'!$AD$10,IF(P822='[23]Mapa de Calor inherente'!$AG$6,'[23]Mapa de Calor inherente'!$AD$6,IF(P822='[23]Mapa de Calor inherente'!$AG$7,'[23]Mapa de Calor inherente'!$AD$7,IF(P822='[23]Mapa de Calor inherente'!$AG$8,'[23]Mapa de Calor inherente'!$AD$8,IF(P822='[23]Mapa de Calor inherente'!$AG$9,'[23]Mapa de Calor inherente'!$AD$9,IF(P822='[23]Mapa de Calor inherente'!$AG$10,'[23]Mapa de Calor inherente'!$AD$10,IF(P822='[23]Mapa de Calor inherente'!$AD$8,'[23]Mapa de Calor inherente'!$AD$8,IF(P822='[23]Mapa de Calor inherente'!$AD$9,'[23]Mapa de Calor inherente'!$AD$9,IF(P822='[23]Mapa de Calor inherente'!$AD$10,'[23]Mapa de Calor inherente'!$AD$10))))))))))))))</f>
        <v>Moderado</v>
      </c>
      <c r="R822" s="600">
        <f>+IF(P822="","",IF(P822='[23]Mapa de Calor inherente'!$AF$6,'[23]Mapa de Calor inherente'!$AE$6,IF(P822='[23]Mapa de Calor inherente'!$AF$7,'[23]Mapa de Calor inherente'!$AE$7,IF(P822='[23]Mapa de Calor inherente'!$AF$8,'[23]Mapa de Calor inherente'!$AE$8,IF(P822='[23]Mapa de Calor inherente'!$AF$9,'[23]Mapa de Calor inherente'!$AE$9,IF(P822='[23]Mapa de Calor inherente'!$AF$10,'[23]Mapa de Calor inherente'!$AE$10,IF(P822='[23]Mapa de Calor inherente'!$AG$6,'[23]Mapa de Calor inherente'!$AE$6,IF(P822='[23]Mapa de Calor inherente'!$AG$7,'[23]Mapa de Calor inherente'!$AE$7,IF(P822='[23]Mapa de Calor inherente'!$AG$8,'[23]Mapa de Calor inherente'!$AE$8,IF(P822='[23]Mapa de Calor inherente'!$AG$9,'[23]Mapa de Calor inherente'!$AE$9,IF(P822='[23]Mapa de Calor inherente'!$AG$10,'[23]Mapa de Calor inherente'!$AE$10,IF(P822='[23]Mapa de Calor inherente'!$AD$8,'[23]Mapa de Calor inherente'!$AE$8,IF(P822='[23]Mapa de Calor inherente'!$AD$9,'[23]Mapa de Calor inherente'!$AE$9,IF(P822='[23]Mapa de Calor inherente'!$AD$10,'[23]Mapa de Calor inherente'!$AE$10))))))))))))))</f>
        <v>0.6</v>
      </c>
      <c r="S822" s="292" t="e">
        <f>IF(N822="","",IF(R822="","",(N822*R822)))</f>
        <v>#VALUE!</v>
      </c>
      <c r="T822" s="603" t="str">
        <f>+IF(N822=$BB$17,IF(Q822=$BC$16,$BC$17,IF(Q822=$BD$16,$BD$17,IF(Q822=$BE$16,$BE$17,IF(Q822=$BF$16,$BF$17,IF(Q822=$BG$16,$BG$17))))),IF(N822=$BB$18,IF(Q822=$BC$16,$BC$18,IF(Q822=$BD$16,$BD$18,IF(Q822=$BE$16,$BE$18,IF(Q822=$BF$16,$BF$18,IF(Q822=$BG$16,$BG$18))))),IF(N822=$BB$19,IF(Q822=$BC$16,$BC$19,IF(Q822=$BD$16,$BD$19,IF(Q822=$BE$16,$BE$19,IF(Q822=$BF$16,$BF$19,IF(Q822=$BG$16,$BG$19))))),IF(N822=$BB$20,IF(Q822=$BC$16,$BC$20,IF(Q822=$BD$16,$BD$20,IF(Q822=$BE$16,$BE$20,IF(Q822=$BF$16,$BF$20,IF(Q822=$BG$16,$BG$20))))),IF(N822=$BB$21,IF(Q822=$BC$16,$BC$21,IF(Q822=$BD$16,$BD$21,IF(Q822=$BE$16,$BE$21,IF(Q822=$BF$16,$BF$21,IF(Q822=$BG$16,$BG$21))))),"")))))</f>
        <v>Moderado</v>
      </c>
      <c r="U822" s="139" t="s">
        <v>171</v>
      </c>
      <c r="V822" s="455" t="s">
        <v>936</v>
      </c>
      <c r="W822" s="313" t="s">
        <v>40</v>
      </c>
      <c r="X822" s="314">
        <f>IF(W822=[23]Listas!$B$46,[23]Listas!$C$46,IF(W822=[23]Listas!$B$47,[23]Listas!$C$47,IF(W822=[23]Listas!$B$48,[23]Listas!$C$48,"")))</f>
        <v>0.25</v>
      </c>
      <c r="Y822" s="315" t="str">
        <f>IF(OR(W822=[23]Listas!$F$53,W822=[23]Listas!$F$54),[23]Listas!$G$53,IF(W822=[23]Listas!$F$55,[23]Listas!$G$55,""))</f>
        <v>Probabilidad</v>
      </c>
      <c r="Z822" s="313" t="s">
        <v>43</v>
      </c>
      <c r="AA822" s="314">
        <f>+IF(Z822=[23]Listas!$E$46,[23]Listas!$F$46,IF(Z822=[23]Listas!$E$47,[23]Listas!$F$47,""))</f>
        <v>0.15</v>
      </c>
      <c r="AB822" s="181">
        <f>IFERROR(X822+AA822,"")</f>
        <v>0.4</v>
      </c>
      <c r="AC822" s="313" t="s">
        <v>57</v>
      </c>
      <c r="AD822" s="316" t="s">
        <v>58</v>
      </c>
      <c r="AE822" s="317" t="s">
        <v>59</v>
      </c>
      <c r="AF822" s="299" t="str">
        <f t="shared" si="117"/>
        <v>Baja</v>
      </c>
      <c r="AG822" s="141">
        <f>IF(Y822=[23]Listas!$G$53,O822-(O822*AB822),O822)</f>
        <v>0.24</v>
      </c>
      <c r="AH822" s="561">
        <f>+IF(AG831="","",AG831)</f>
        <v>5.183999999999999E-2</v>
      </c>
      <c r="AI822" s="299" t="str">
        <f>IF(AJ822="","",IF(AJ822&lt;=20%,"Leve",IF(AJ822&lt;=40%,"Menor",IF(AJ822&lt;=60%,"Moderado",IF(AJ822&lt;=80%,"Mayor","Catastrófico")))))</f>
        <v>Moderado</v>
      </c>
      <c r="AJ822" s="141">
        <f>IF(Y822=[23]Listas!$G$55,R822-(R822*AB822),R822)</f>
        <v>0.6</v>
      </c>
      <c r="AK822" s="561">
        <f>+IF(AJ831="","",AJ831)</f>
        <v>0.6</v>
      </c>
      <c r="AL822" s="564" t="str">
        <f>+IF(AH822=0,"",IF(AH822&lt;=$BA$21,$BB$21,IF(AH822&lt;=$BA$20,$BB$20,IF(AH822&lt;=$BA$19,$BB$19,IF(AH822&lt;=$BA$18,$BB$18,IF(AH822&lt;=$BA$17,$BB$17,""))))))</f>
        <v>Muy Baja</v>
      </c>
      <c r="AM822" s="564" t="str">
        <f>+IF(AK822=0,"",IF(AK822&lt;=$BC$15,$BC$16,IF(AK822&lt;=$BD$15,$BD$16,IF(AK822&lt;=$BE$15,$BE$16,IF(AK822&lt;=$BF$15,$BF$16,IF(AK822&lt;=$BG$15,$BG$16,""))))))</f>
        <v>Moderado</v>
      </c>
      <c r="AN822" s="564" t="str">
        <f>IF(AL822=$BB$17,IF(AM822=$BC$16,$BC$17,IF(AM822=$BD$16,$BD$17,IF(AM822=$BE$16,$BE$17,IF(AM822=$BF$16,$BF$17,IF(AM822=$BG$16,$BG$17))))),IF(AL822=$BB$18,IF(AM822=$BC$16,$BC$18,IF(AM822=$BD$16,$BD$18,IF(AM822=$BE$16,$BE$18,IF(AM822=$BF$16,$BF$18,IF(AM822=$BG$16,$BG$18))))),IF(AL822=$BB$19,IF(AM822=$BC$16,$BC$19,IF(AM822=$BD$16,$BD$19,IF(AM822=$BE$16,$BE$19,IF(AM822=$BF$16,$BF$19,IF(AM822=$BG$16,$BG$19))))),IF(AL822=$BB$20,IF(AM822=$BC$16,$BC$20,IF(AM822=$BD$16,$BD$20,IF(AM822=$BE$16,$BE$20,IF(AM822=$BF$16,$BF$20,IF(AM822=$BG$16,$BG$20))))),IF(AL822=$BB$21,IF(AM822=$BC$16,$BC$21,IF(AM822=$BD$16,$BD$21,IF(AM822=$BE$16,$BE$21,IF(AM822=$BF$16,$BF$21,IF(AM822=$BG$16,$BG$21))))),"")))))</f>
        <v>Moderado</v>
      </c>
      <c r="AO822" s="567" t="str">
        <f>IF(AP822="","",IF(AP822=[23]Listas!$F$61,[23]Listas!$G$61,IF(AP822=[23]Listas!$F$63,[23]Listas!$G$63,IF(AP822=[23]Listas!$F$64,[23]Listas!$G$64))))</f>
        <v>Requiere Plan de Acción</v>
      </c>
      <c r="AP822" s="570" t="str">
        <f>IF(AN822="","",IF(OR(AN822=[23]Listas!$E$61,AN822=[23]Listas!$E$62),[23]Listas!$F$61,IF(AN822=[23]Listas!$E$63,[23]Listas!$F$63,IF(AN822=[23]Listas!$E$64,[23]Listas!$F$64))))</f>
        <v>Aceptar o reducir el riesgo</v>
      </c>
      <c r="AQ822" s="358" t="s">
        <v>80</v>
      </c>
      <c r="AR822" s="266" t="s">
        <v>937</v>
      </c>
    </row>
    <row r="823" spans="2:44" ht="84" customHeight="1" thickTop="1" thickBot="1" x14ac:dyDescent="0.4">
      <c r="B823" s="537"/>
      <c r="C823" s="560"/>
      <c r="D823" s="610"/>
      <c r="E823" s="577"/>
      <c r="F823" s="625"/>
      <c r="G823" s="672"/>
      <c r="H823" s="672"/>
      <c r="I823" s="589"/>
      <c r="J823" s="589"/>
      <c r="K823" s="592"/>
      <c r="L823" s="589"/>
      <c r="M823" s="595"/>
      <c r="N823" s="598"/>
      <c r="O823" s="601"/>
      <c r="P823" s="595"/>
      <c r="Q823" s="604"/>
      <c r="R823" s="601"/>
      <c r="S823" s="286"/>
      <c r="T823" s="604"/>
      <c r="U823" s="142" t="s">
        <v>174</v>
      </c>
      <c r="V823" s="418" t="s">
        <v>938</v>
      </c>
      <c r="W823" s="331" t="s">
        <v>40</v>
      </c>
      <c r="X823" s="320">
        <f>IF(W823=[23]Listas!$B$46,[23]Listas!$C$46,IF(W823=[23]Listas!$B$47,[23]Listas!$C$47,IF(W823=[23]Listas!$B$48,[23]Listas!$C$48,"")))</f>
        <v>0.25</v>
      </c>
      <c r="Y823" s="321" t="str">
        <f>IF(OR(W823=[23]Listas!$F$53,W823=[23]Listas!$F$54),[23]Listas!$G$53,IF(W823=[23]Listas!$F$55,[23]Listas!$G$55,""))</f>
        <v>Probabilidad</v>
      </c>
      <c r="Z823" s="319" t="s">
        <v>43</v>
      </c>
      <c r="AA823" s="182">
        <f>+IF(Z823=[23]Listas!$E$46,[23]Listas!$F$46,IF(Z823=[23]Listas!$E$47,[23]Listas!$F$47,""))</f>
        <v>0.15</v>
      </c>
      <c r="AB823" s="183">
        <f>IFERROR(X823+AA823,"")</f>
        <v>0.4</v>
      </c>
      <c r="AC823" s="319" t="s">
        <v>57</v>
      </c>
      <c r="AD823" s="322" t="s">
        <v>58</v>
      </c>
      <c r="AE823" s="323" t="s">
        <v>59</v>
      </c>
      <c r="AF823" s="305" t="str">
        <f t="shared" si="117"/>
        <v>Muy baja</v>
      </c>
      <c r="AG823" s="145">
        <f>IF(Y823=[23]Listas!$G$53,AG822-(AG822*AB823),AG822)</f>
        <v>0.14399999999999999</v>
      </c>
      <c r="AH823" s="562"/>
      <c r="AI823" s="305" t="str">
        <f t="shared" si="124"/>
        <v>Moderado</v>
      </c>
      <c r="AJ823" s="145">
        <f>IF(Y823=[23]Listas!$G$55,AJ822-(AJ822*AB823),AJ822)</f>
        <v>0.6</v>
      </c>
      <c r="AK823" s="562"/>
      <c r="AL823" s="565"/>
      <c r="AM823" s="565"/>
      <c r="AN823" s="565"/>
      <c r="AO823" s="568"/>
      <c r="AP823" s="571"/>
      <c r="AQ823" s="343" t="s">
        <v>90</v>
      </c>
      <c r="AR823" s="190" t="s">
        <v>939</v>
      </c>
    </row>
    <row r="824" spans="2:44" ht="96.65" customHeight="1" thickTop="1" thickBot="1" x14ac:dyDescent="0.4">
      <c r="B824" s="537"/>
      <c r="C824" s="560"/>
      <c r="D824" s="610"/>
      <c r="E824" s="577"/>
      <c r="F824" s="625"/>
      <c r="G824" s="672"/>
      <c r="H824" s="672"/>
      <c r="I824" s="589"/>
      <c r="J824" s="589"/>
      <c r="K824" s="592"/>
      <c r="L824" s="589"/>
      <c r="M824" s="595"/>
      <c r="N824" s="598"/>
      <c r="O824" s="601"/>
      <c r="P824" s="595"/>
      <c r="Q824" s="604"/>
      <c r="R824" s="601"/>
      <c r="S824" s="287"/>
      <c r="T824" s="604"/>
      <c r="U824" s="142" t="s">
        <v>180</v>
      </c>
      <c r="V824" s="418" t="s">
        <v>940</v>
      </c>
      <c r="W824" s="331" t="s">
        <v>40</v>
      </c>
      <c r="X824" s="320">
        <f>IF(W824=[23]Listas!$B$46,[23]Listas!$C$46,IF(W824=[23]Listas!$B$47,[23]Listas!$C$47,IF(W824=[23]Listas!$B$48,[23]Listas!$C$48,"")))</f>
        <v>0.25</v>
      </c>
      <c r="Y824" s="321" t="str">
        <f>IF(OR(W824=[23]Listas!$F$53,W824=[23]Listas!$F$54),[23]Listas!$G$53,IF(W824=[23]Listas!$F$55,[23]Listas!$G$55,""))</f>
        <v>Probabilidad</v>
      </c>
      <c r="Z824" s="319" t="s">
        <v>43</v>
      </c>
      <c r="AA824" s="182">
        <f>+IF(Z824=[23]Listas!$E$46,[23]Listas!$F$46,IF(Z824=[23]Listas!$E$47,[23]Listas!$F$47,""))</f>
        <v>0.15</v>
      </c>
      <c r="AB824" s="183">
        <f>IFERROR(X824+AA824,"")</f>
        <v>0.4</v>
      </c>
      <c r="AC824" s="319" t="s">
        <v>57</v>
      </c>
      <c r="AD824" s="322" t="s">
        <v>58</v>
      </c>
      <c r="AE824" s="323" t="s">
        <v>59</v>
      </c>
      <c r="AF824" s="305" t="str">
        <f t="shared" si="117"/>
        <v>Muy baja</v>
      </c>
      <c r="AG824" s="145">
        <f>IF(Y824=[23]Listas!$G$53,AG823-(AG823*AB824),AG823)</f>
        <v>8.6399999999999991E-2</v>
      </c>
      <c r="AH824" s="562"/>
      <c r="AI824" s="305" t="str">
        <f t="shared" si="124"/>
        <v>Moderado</v>
      </c>
      <c r="AJ824" s="145">
        <f>IF(Y824=[23]Listas!$G$55,AJ823-(AJ823*AB824),AJ823)</f>
        <v>0.6</v>
      </c>
      <c r="AK824" s="562"/>
      <c r="AL824" s="565"/>
      <c r="AM824" s="565"/>
      <c r="AN824" s="565"/>
      <c r="AO824" s="568"/>
      <c r="AP824" s="571"/>
      <c r="AQ824" s="343"/>
      <c r="AR824" s="191"/>
    </row>
    <row r="825" spans="2:44" ht="83.5" customHeight="1" thickTop="1" thickBot="1" x14ac:dyDescent="0.4">
      <c r="B825" s="537"/>
      <c r="C825" s="560"/>
      <c r="D825" s="610"/>
      <c r="E825" s="577"/>
      <c r="F825" s="625"/>
      <c r="G825" s="672"/>
      <c r="H825" s="672"/>
      <c r="I825" s="589"/>
      <c r="J825" s="589"/>
      <c r="K825" s="592"/>
      <c r="L825" s="589"/>
      <c r="M825" s="595"/>
      <c r="N825" s="598"/>
      <c r="O825" s="601"/>
      <c r="P825" s="595"/>
      <c r="Q825" s="604"/>
      <c r="R825" s="601"/>
      <c r="S825" s="287"/>
      <c r="T825" s="604"/>
      <c r="U825" s="142" t="s">
        <v>190</v>
      </c>
      <c r="V825" s="418" t="s">
        <v>941</v>
      </c>
      <c r="W825" s="331" t="s">
        <v>40</v>
      </c>
      <c r="X825" s="320">
        <f>IF(W825=[23]Listas!$B$46,[23]Listas!$C$46,IF(W825=[23]Listas!$B$47,[23]Listas!$C$47,IF(W825=[23]Listas!$B$48,[23]Listas!$C$48,"")))</f>
        <v>0.25</v>
      </c>
      <c r="Y825" s="321" t="str">
        <f>IF(OR(W825=[23]Listas!$F$53,W825=[23]Listas!$F$54),[23]Listas!$G$53,IF(W825=[23]Listas!$F$55,[23]Listas!$G$55,""))</f>
        <v>Probabilidad</v>
      </c>
      <c r="Z825" s="319" t="s">
        <v>43</v>
      </c>
      <c r="AA825" s="182">
        <f>+IF(Z825=[23]Listas!$E$46,[23]Listas!$F$46,IF(Z825=[23]Listas!$E$47,[23]Listas!$F$47,""))</f>
        <v>0.15</v>
      </c>
      <c r="AB825" s="183">
        <f t="shared" ref="AB825:AB831" si="126">IFERROR(X825+AA825,"")</f>
        <v>0.4</v>
      </c>
      <c r="AC825" s="319" t="s">
        <v>57</v>
      </c>
      <c r="AD825" s="322" t="s">
        <v>58</v>
      </c>
      <c r="AE825" s="323" t="s">
        <v>59</v>
      </c>
      <c r="AF825" s="305" t="str">
        <f t="shared" si="117"/>
        <v>Muy baja</v>
      </c>
      <c r="AG825" s="145">
        <f>IF(Y825=[23]Listas!$G$53,AG824-(AG824*AB825),AG824)</f>
        <v>5.183999999999999E-2</v>
      </c>
      <c r="AH825" s="562"/>
      <c r="AI825" s="305" t="str">
        <f t="shared" si="124"/>
        <v>Moderado</v>
      </c>
      <c r="AJ825" s="145">
        <f>IF(Y825=[23]Listas!$G$55,AJ824-(AJ824*AB825),AJ824)</f>
        <v>0.6</v>
      </c>
      <c r="AK825" s="562"/>
      <c r="AL825" s="565"/>
      <c r="AM825" s="565"/>
      <c r="AN825" s="565"/>
      <c r="AO825" s="568"/>
      <c r="AP825" s="571"/>
      <c r="AQ825" s="343"/>
      <c r="AR825" s="191"/>
    </row>
    <row r="826" spans="2:44" ht="15" hidden="1" customHeight="1" thickBot="1" x14ac:dyDescent="0.4">
      <c r="B826" s="537"/>
      <c r="C826" s="560"/>
      <c r="D826" s="610"/>
      <c r="E826" s="577"/>
      <c r="F826" s="625"/>
      <c r="G826" s="672"/>
      <c r="H826" s="672"/>
      <c r="I826" s="589"/>
      <c r="J826" s="589"/>
      <c r="K826" s="592"/>
      <c r="L826" s="589"/>
      <c r="M826" s="595"/>
      <c r="N826" s="598"/>
      <c r="O826" s="601"/>
      <c r="P826" s="595"/>
      <c r="Q826" s="604"/>
      <c r="R826" s="601"/>
      <c r="S826" s="287"/>
      <c r="T826" s="604"/>
      <c r="U826" s="142" t="s">
        <v>198</v>
      </c>
      <c r="V826" s="415"/>
      <c r="W826" s="331"/>
      <c r="X826" s="320" t="str">
        <f>IF(W826=[23]Listas!$B$46,[23]Listas!$C$46,IF(W826=[23]Listas!$B$47,[23]Listas!$C$47,IF(W826=[23]Listas!$B$48,[23]Listas!$C$48,"")))</f>
        <v/>
      </c>
      <c r="Y826" s="321" t="str">
        <f>IF(OR(W826=[23]Listas!$F$53,W826=[23]Listas!$F$54),[23]Listas!$G$53,IF(W826=[23]Listas!$F$55,[23]Listas!$G$55,""))</f>
        <v/>
      </c>
      <c r="Z826" s="319"/>
      <c r="AA826" s="182" t="str">
        <f>+IF(Z826=[23]Listas!$E$46,[23]Listas!$F$46,IF(Z826=[23]Listas!$E$47,[23]Listas!$F$47,""))</f>
        <v/>
      </c>
      <c r="AB826" s="183" t="str">
        <f t="shared" si="126"/>
        <v/>
      </c>
      <c r="AC826" s="319"/>
      <c r="AD826" s="322"/>
      <c r="AE826" s="323"/>
      <c r="AF826" s="305" t="str">
        <f t="shared" si="117"/>
        <v>Muy baja</v>
      </c>
      <c r="AG826" s="145">
        <f>IF(Y826=[23]Listas!$G$53,AG825-(AG825*AB826),AG825)</f>
        <v>5.183999999999999E-2</v>
      </c>
      <c r="AH826" s="562"/>
      <c r="AI826" s="305" t="str">
        <f t="shared" si="124"/>
        <v>Moderado</v>
      </c>
      <c r="AJ826" s="145">
        <f>IF(Y826=[23]Listas!$G$55,AJ825-(AJ825*AB826),AJ825)</f>
        <v>0.6</v>
      </c>
      <c r="AK826" s="562"/>
      <c r="AL826" s="565"/>
      <c r="AM826" s="565"/>
      <c r="AN826" s="565"/>
      <c r="AO826" s="568"/>
      <c r="AP826" s="571"/>
      <c r="AQ826" s="344"/>
      <c r="AR826" s="191"/>
    </row>
    <row r="827" spans="2:44" ht="15.75" hidden="1" customHeight="1" thickTop="1" x14ac:dyDescent="0.35">
      <c r="B827" s="537"/>
      <c r="C827" s="560"/>
      <c r="D827" s="610"/>
      <c r="E827" s="577"/>
      <c r="F827" s="625"/>
      <c r="G827" s="672"/>
      <c r="H827" s="672"/>
      <c r="I827" s="589"/>
      <c r="J827" s="589"/>
      <c r="K827" s="592"/>
      <c r="L827" s="589"/>
      <c r="M827" s="595"/>
      <c r="N827" s="598"/>
      <c r="O827" s="601"/>
      <c r="P827" s="595"/>
      <c r="Q827" s="604"/>
      <c r="R827" s="601"/>
      <c r="S827" s="288"/>
      <c r="T827" s="604"/>
      <c r="U827" s="142" t="s">
        <v>208</v>
      </c>
      <c r="V827" s="418"/>
      <c r="W827" s="331"/>
      <c r="X827" s="320" t="str">
        <f>IF(W827=[23]Listas!$B$46,[23]Listas!$C$46,IF(W827=[23]Listas!$B$47,[23]Listas!$C$47,IF(W827=[23]Listas!$B$48,[23]Listas!$C$48,"")))</f>
        <v/>
      </c>
      <c r="Y827" s="321" t="str">
        <f>IF(OR(W827=[23]Listas!$F$53,W827=[23]Listas!$F$54),[23]Listas!$G$53,IF(W827=[23]Listas!$F$55,[23]Listas!$G$55,""))</f>
        <v/>
      </c>
      <c r="Z827" s="319"/>
      <c r="AA827" s="182" t="str">
        <f>+IF(Z827=[23]Listas!$E$46,[23]Listas!$F$46,IF(Z827=[23]Listas!$E$47,[23]Listas!$F$47,""))</f>
        <v/>
      </c>
      <c r="AB827" s="183" t="str">
        <f t="shared" si="126"/>
        <v/>
      </c>
      <c r="AC827" s="319"/>
      <c r="AD827" s="322"/>
      <c r="AE827" s="323"/>
      <c r="AF827" s="305" t="str">
        <f t="shared" si="117"/>
        <v>Muy baja</v>
      </c>
      <c r="AG827" s="145">
        <f>IF(Y827=[23]Listas!$G$53,AG826-(AG826*AB827),AG826)</f>
        <v>5.183999999999999E-2</v>
      </c>
      <c r="AH827" s="562"/>
      <c r="AI827" s="305" t="str">
        <f t="shared" si="124"/>
        <v>Moderado</v>
      </c>
      <c r="AJ827" s="145">
        <f>IF(Y827=[23]Listas!$G$55,AJ826-(AJ826*AB827),AJ826)</f>
        <v>0.6</v>
      </c>
      <c r="AK827" s="562"/>
      <c r="AL827" s="565"/>
      <c r="AM827" s="565"/>
      <c r="AN827" s="565"/>
      <c r="AO827" s="568"/>
      <c r="AP827" s="571"/>
      <c r="AQ827" s="343"/>
      <c r="AR827" s="191"/>
    </row>
    <row r="828" spans="2:44" ht="15" hidden="1" customHeight="1" thickTop="1" x14ac:dyDescent="0.35">
      <c r="B828" s="537"/>
      <c r="C828" s="560"/>
      <c r="D828" s="610"/>
      <c r="E828" s="577"/>
      <c r="F828" s="625"/>
      <c r="G828" s="672"/>
      <c r="H828" s="672"/>
      <c r="I828" s="589"/>
      <c r="J828" s="589"/>
      <c r="K828" s="592"/>
      <c r="L828" s="589"/>
      <c r="M828" s="595"/>
      <c r="N828" s="598"/>
      <c r="O828" s="601"/>
      <c r="P828" s="595"/>
      <c r="Q828" s="604"/>
      <c r="R828" s="601"/>
      <c r="S828" s="289"/>
      <c r="T828" s="604"/>
      <c r="U828" s="142" t="s">
        <v>215</v>
      </c>
      <c r="V828" s="415"/>
      <c r="W828" s="319"/>
      <c r="X828" s="320" t="str">
        <f>IF(W828=[23]Listas!$B$46,[23]Listas!$C$46,IF(W828=[23]Listas!$B$47,[23]Listas!$C$47,IF(W828=[23]Listas!$B$48,[23]Listas!$C$48,"")))</f>
        <v/>
      </c>
      <c r="Y828" s="321" t="str">
        <f>IF(OR(W828=[23]Listas!$F$53,W828=[23]Listas!$F$54),[23]Listas!$G$53,IF(W828=[23]Listas!$F$55,[23]Listas!$G$55,""))</f>
        <v/>
      </c>
      <c r="Z828" s="319"/>
      <c r="AA828" s="182" t="str">
        <f>+IF(Z828=[23]Listas!$E$46,[23]Listas!$F$46,IF(Z828=[23]Listas!$E$47,[23]Listas!$F$47,""))</f>
        <v/>
      </c>
      <c r="AB828" s="183" t="str">
        <f t="shared" si="126"/>
        <v/>
      </c>
      <c r="AC828" s="319"/>
      <c r="AD828" s="322"/>
      <c r="AE828" s="323"/>
      <c r="AF828" s="305" t="str">
        <f t="shared" si="117"/>
        <v>Muy baja</v>
      </c>
      <c r="AG828" s="145">
        <f>IF(Y828=[23]Listas!$G$53,AG827-(AG827*AB828),AG827)</f>
        <v>5.183999999999999E-2</v>
      </c>
      <c r="AH828" s="562"/>
      <c r="AI828" s="305" t="str">
        <f t="shared" si="124"/>
        <v>Moderado</v>
      </c>
      <c r="AJ828" s="145">
        <f>IF(Y828=[23]Listas!$G$55,AJ827-(AJ827*AB828),AJ827)</f>
        <v>0.6</v>
      </c>
      <c r="AK828" s="562"/>
      <c r="AL828" s="565"/>
      <c r="AM828" s="565"/>
      <c r="AN828" s="565"/>
      <c r="AO828" s="568"/>
      <c r="AP828" s="571"/>
      <c r="AQ828" s="343"/>
      <c r="AR828" s="191"/>
    </row>
    <row r="829" spans="2:44" ht="15" hidden="1" customHeight="1" thickTop="1" x14ac:dyDescent="0.35">
      <c r="B829" s="537"/>
      <c r="C829" s="560"/>
      <c r="D829" s="610"/>
      <c r="E829" s="577"/>
      <c r="F829" s="625"/>
      <c r="G829" s="672"/>
      <c r="H829" s="672"/>
      <c r="I829" s="589"/>
      <c r="J829" s="589"/>
      <c r="K829" s="592"/>
      <c r="L829" s="589"/>
      <c r="M829" s="595"/>
      <c r="N829" s="598"/>
      <c r="O829" s="601"/>
      <c r="P829" s="595"/>
      <c r="Q829" s="604"/>
      <c r="R829" s="601"/>
      <c r="S829" s="289"/>
      <c r="T829" s="604"/>
      <c r="U829" s="142" t="s">
        <v>220</v>
      </c>
      <c r="V829" s="418"/>
      <c r="W829" s="331"/>
      <c r="X829" s="320" t="str">
        <f>IF(W829=[23]Listas!$B$46,[23]Listas!$C$46,IF(W829=[23]Listas!$B$47,[23]Listas!$C$47,IF(W829=[23]Listas!$B$48,[23]Listas!$C$48,"")))</f>
        <v/>
      </c>
      <c r="Y829" s="321" t="str">
        <f>IF(OR(W829=[23]Listas!$F$53,W829=[23]Listas!$F$54),[23]Listas!$G$53,IF(W829=[23]Listas!$F$55,[23]Listas!$G$55,""))</f>
        <v/>
      </c>
      <c r="Z829" s="319"/>
      <c r="AA829" s="182" t="str">
        <f>+IF(Z829=[23]Listas!$E$46,[23]Listas!$F$46,IF(Z829=[23]Listas!$E$47,[23]Listas!$F$47,""))</f>
        <v/>
      </c>
      <c r="AB829" s="183" t="str">
        <f t="shared" si="126"/>
        <v/>
      </c>
      <c r="AC829" s="319"/>
      <c r="AD829" s="322"/>
      <c r="AE829" s="323"/>
      <c r="AF829" s="305" t="str">
        <f t="shared" si="117"/>
        <v>Muy baja</v>
      </c>
      <c r="AG829" s="145">
        <f>IF(Y829=[23]Listas!$G$53,AG828-(AG828*AB829),AG828)</f>
        <v>5.183999999999999E-2</v>
      </c>
      <c r="AH829" s="562"/>
      <c r="AI829" s="305" t="str">
        <f t="shared" si="124"/>
        <v>Moderado</v>
      </c>
      <c r="AJ829" s="145">
        <f>IF(Y829=[23]Listas!$G$55,AJ828-(AJ828*AB829),AJ828)</f>
        <v>0.6</v>
      </c>
      <c r="AK829" s="562"/>
      <c r="AL829" s="565"/>
      <c r="AM829" s="565"/>
      <c r="AN829" s="565"/>
      <c r="AO829" s="568"/>
      <c r="AP829" s="571"/>
      <c r="AQ829" s="344"/>
      <c r="AR829" s="191"/>
    </row>
    <row r="830" spans="2:44" ht="15" hidden="1" customHeight="1" thickTop="1" x14ac:dyDescent="0.35">
      <c r="B830" s="537"/>
      <c r="C830" s="560"/>
      <c r="D830" s="610"/>
      <c r="E830" s="577"/>
      <c r="F830" s="625"/>
      <c r="G830" s="672"/>
      <c r="H830" s="672"/>
      <c r="I830" s="589"/>
      <c r="J830" s="589"/>
      <c r="K830" s="592"/>
      <c r="L830" s="589"/>
      <c r="M830" s="595"/>
      <c r="N830" s="598"/>
      <c r="O830" s="601"/>
      <c r="P830" s="595"/>
      <c r="Q830" s="604"/>
      <c r="R830" s="601"/>
      <c r="S830" s="289"/>
      <c r="T830" s="604"/>
      <c r="U830" s="142" t="s">
        <v>223</v>
      </c>
      <c r="V830" s="418"/>
      <c r="W830" s="331"/>
      <c r="X830" s="320" t="str">
        <f>IF(W830=[23]Listas!$B$46,[23]Listas!$C$46,IF(W830=[23]Listas!$B$47,[23]Listas!$C$47,IF(W830=[23]Listas!$B$48,[23]Listas!$C$48,"")))</f>
        <v/>
      </c>
      <c r="Y830" s="321" t="str">
        <f>IF(OR(W830=[23]Listas!$F$53,W830=[23]Listas!$F$54),[23]Listas!$G$53,IF(W830=[23]Listas!$F$55,[23]Listas!$G$55,""))</f>
        <v/>
      </c>
      <c r="Z830" s="319"/>
      <c r="AA830" s="182" t="str">
        <f>+IF(Z830=[23]Listas!$E$46,[23]Listas!$F$46,IF(Z830=[23]Listas!$E$47,[23]Listas!$F$47,""))</f>
        <v/>
      </c>
      <c r="AB830" s="183" t="str">
        <f t="shared" si="126"/>
        <v/>
      </c>
      <c r="AC830" s="319"/>
      <c r="AD830" s="322"/>
      <c r="AE830" s="323"/>
      <c r="AF830" s="305" t="str">
        <f t="shared" si="117"/>
        <v>Muy baja</v>
      </c>
      <c r="AG830" s="145">
        <f>IF(Y830=[23]Listas!$G$53,AG829-(AG829*AB830),AG829)</f>
        <v>5.183999999999999E-2</v>
      </c>
      <c r="AH830" s="562"/>
      <c r="AI830" s="305" t="str">
        <f t="shared" si="124"/>
        <v>Moderado</v>
      </c>
      <c r="AJ830" s="145">
        <f>IF(Y830=[23]Listas!$G$55,AJ829-(AJ829*AB830),AJ829)</f>
        <v>0.6</v>
      </c>
      <c r="AK830" s="562"/>
      <c r="AL830" s="565"/>
      <c r="AM830" s="565"/>
      <c r="AN830" s="565"/>
      <c r="AO830" s="568"/>
      <c r="AP830" s="571"/>
      <c r="AQ830" s="343"/>
      <c r="AR830" s="191"/>
    </row>
    <row r="831" spans="2:44" ht="15.75" hidden="1" customHeight="1" thickTop="1" x14ac:dyDescent="0.35">
      <c r="B831" s="537"/>
      <c r="C831" s="560"/>
      <c r="D831" s="611"/>
      <c r="E831" s="578"/>
      <c r="F831" s="626"/>
      <c r="G831" s="673"/>
      <c r="H831" s="673"/>
      <c r="I831" s="590"/>
      <c r="J831" s="590"/>
      <c r="K831" s="593"/>
      <c r="L831" s="590"/>
      <c r="M831" s="596"/>
      <c r="N831" s="599"/>
      <c r="O831" s="602"/>
      <c r="P831" s="596"/>
      <c r="Q831" s="605"/>
      <c r="R831" s="602"/>
      <c r="S831" s="293"/>
      <c r="T831" s="605"/>
      <c r="U831" s="202" t="s">
        <v>224</v>
      </c>
      <c r="V831" s="416"/>
      <c r="W831" s="335"/>
      <c r="X831" s="336" t="str">
        <f>IF(W831=[23]Listas!$B$46,[23]Listas!$C$46,IF(W831=[23]Listas!$B$47,[23]Listas!$C$47,IF(W831=[23]Listas!$B$48,[23]Listas!$C$48,"")))</f>
        <v/>
      </c>
      <c r="Y831" s="337" t="str">
        <f>IF(OR(W831=[23]Listas!$F$53,W831=[23]Listas!$F$54),[23]Listas!$G$53,IF(W831=[23]Listas!$F$55,[23]Listas!$G$55,""))</f>
        <v/>
      </c>
      <c r="Z831" s="335"/>
      <c r="AA831" s="186" t="str">
        <f>+IF(Z831=[23]Listas!$E$46,[23]Listas!$F$46,IF(Z831=[23]Listas!$E$47,[23]Listas!$F$47,""))</f>
        <v/>
      </c>
      <c r="AB831" s="187" t="str">
        <f t="shared" si="126"/>
        <v/>
      </c>
      <c r="AC831" s="338"/>
      <c r="AD831" s="339"/>
      <c r="AE831" s="340"/>
      <c r="AF831" s="311" t="str">
        <f t="shared" si="117"/>
        <v>Muy baja</v>
      </c>
      <c r="AG831" s="179">
        <f>IF(Y831=[23]Listas!$G$53,AG830-(AG830*AB831),AG830)</f>
        <v>5.183999999999999E-2</v>
      </c>
      <c r="AH831" s="563"/>
      <c r="AI831" s="311" t="str">
        <f t="shared" si="124"/>
        <v>Moderado</v>
      </c>
      <c r="AJ831" s="179">
        <f>IF(Y831=[23]Listas!$G$55,AJ830-(AJ830*AB831),AJ830)</f>
        <v>0.6</v>
      </c>
      <c r="AK831" s="563"/>
      <c r="AL831" s="566"/>
      <c r="AM831" s="566"/>
      <c r="AN831" s="566"/>
      <c r="AO831" s="569"/>
      <c r="AP831" s="572"/>
      <c r="AQ831" s="359"/>
      <c r="AR831" s="192"/>
    </row>
    <row r="832" spans="2:44" ht="125.5" customHeight="1" thickTop="1" thickBot="1" x14ac:dyDescent="0.4">
      <c r="B832" s="537"/>
      <c r="C832" s="560"/>
      <c r="D832" s="609" t="s">
        <v>942</v>
      </c>
      <c r="E832" s="576" t="s">
        <v>4</v>
      </c>
      <c r="F832" s="668" t="s">
        <v>943</v>
      </c>
      <c r="G832" s="662" t="s">
        <v>944</v>
      </c>
      <c r="H832" s="665" t="s">
        <v>945</v>
      </c>
      <c r="I832" s="588" t="s">
        <v>20</v>
      </c>
      <c r="J832" s="588" t="s">
        <v>22</v>
      </c>
      <c r="K832" s="591"/>
      <c r="L832" s="588" t="s">
        <v>186</v>
      </c>
      <c r="M832" s="594" t="s">
        <v>214</v>
      </c>
      <c r="N832" s="597" t="str">
        <f>+IF(M832="","",IF(M832=$BO$15,$BN$15,IF(M832=$BO$16,$BN$16,IF(M832=$BO$17,$BN$17,IF(M832=$BO$18,$BN$18,IF(M832=$BO$19,$BN$19))))))</f>
        <v>Media</v>
      </c>
      <c r="O832" s="600">
        <f>+IF(M832="","",IF(M832=$BO$15,$BR$15,IF(M832=$BO$16,$BR$16,IF(M832=$BO$17,$BR$17,IF(M832=$BO$18,$BR$18,IF(M832=$BO$19,$BR$19))))))</f>
        <v>0.6</v>
      </c>
      <c r="P832" s="594" t="s">
        <v>195</v>
      </c>
      <c r="Q832" s="603" t="str">
        <f>+IF(P832="","",IF(P832='[23]Mapa de Calor inherente'!$AF$6,'[23]Mapa de Calor inherente'!$AD$6,IF(P832='[23]Mapa de Calor inherente'!$AF$7,'[23]Mapa de Calor inherente'!$AD$7,IF(P832='[23]Mapa de Calor inherente'!$AF$8,'[23]Mapa de Calor inherente'!$AD$8,IF(P832='[23]Mapa de Calor inherente'!$AF$9,'[23]Mapa de Calor inherente'!$AD$9,IF(P832='[23]Mapa de Calor inherente'!$AF$10,'[23]Mapa de Calor inherente'!$AD$10,IF(P832='[23]Mapa de Calor inherente'!$AG$6,'[23]Mapa de Calor inherente'!$AD$6,IF(P832='[23]Mapa de Calor inherente'!$AG$7,'[23]Mapa de Calor inherente'!$AD$7,IF(P832='[23]Mapa de Calor inherente'!$AG$8,'[23]Mapa de Calor inherente'!$AD$8,IF(P832='[23]Mapa de Calor inherente'!$AG$9,'[23]Mapa de Calor inherente'!$AD$9,IF(P832='[23]Mapa de Calor inherente'!$AG$10,'[23]Mapa de Calor inherente'!$AD$10,IF(P832='[23]Mapa de Calor inherente'!$AD$8,'[23]Mapa de Calor inherente'!$AD$8,IF(P832='[23]Mapa de Calor inherente'!$AD$9,'[23]Mapa de Calor inherente'!$AD$9,IF(P832='[23]Mapa de Calor inherente'!$AD$10,'[23]Mapa de Calor inherente'!$AD$10))))))))))))))</f>
        <v>Leve</v>
      </c>
      <c r="R832" s="600">
        <f>+IF(P832="","",IF(P832='[23]Mapa de Calor inherente'!$AF$6,'[23]Mapa de Calor inherente'!$AE$6,IF(P832='[23]Mapa de Calor inherente'!$AF$7,'[23]Mapa de Calor inherente'!$AE$7,IF(P832='[23]Mapa de Calor inherente'!$AF$8,'[23]Mapa de Calor inherente'!$AE$8,IF(P832='[23]Mapa de Calor inherente'!$AF$9,'[23]Mapa de Calor inherente'!$AE$9,IF(P832='[23]Mapa de Calor inherente'!$AF$10,'[23]Mapa de Calor inherente'!$AE$10,IF(P832='[23]Mapa de Calor inherente'!$AG$6,'[23]Mapa de Calor inherente'!$AE$6,IF(P832='[23]Mapa de Calor inherente'!$AG$7,'[23]Mapa de Calor inherente'!$AE$7,IF(P832='[23]Mapa de Calor inherente'!$AG$8,'[23]Mapa de Calor inherente'!$AE$8,IF(P832='[23]Mapa de Calor inherente'!$AG$9,'[23]Mapa de Calor inherente'!$AE$9,IF(P832='[23]Mapa de Calor inherente'!$AG$10,'[23]Mapa de Calor inherente'!$AE$10,IF(P832='[23]Mapa de Calor inherente'!$AD$8,'[23]Mapa de Calor inherente'!$AE$8,IF(P832='[23]Mapa de Calor inherente'!$AD$9,'[23]Mapa de Calor inherente'!$AE$9,IF(P832='[23]Mapa de Calor inherente'!$AD$10,'[23]Mapa de Calor inherente'!$AE$10))))))))))))))</f>
        <v>0.2</v>
      </c>
      <c r="S832" s="292" t="e">
        <f>IF(N832="","",IF(R832="","",(N832*R832)))</f>
        <v>#VALUE!</v>
      </c>
      <c r="T832" s="603" t="str">
        <f>+IF(N832=$BB$17,IF(Q832=$BC$16,$BC$17,IF(Q832=$BD$16,$BD$17,IF(Q832=$BE$16,$BE$17,IF(Q832=$BF$16,$BF$17,IF(Q832=$BG$16,$BG$17))))),IF(N832=$BB$18,IF(Q832=$BC$16,$BC$18,IF(Q832=$BD$16,$BD$18,IF(Q832=$BE$16,$BE$18,IF(Q832=$BF$16,$BF$18,IF(Q832=$BG$16,$BG$18))))),IF(N832=$BB$19,IF(Q832=$BC$16,$BC$19,IF(Q832=$BD$16,$BD$19,IF(Q832=$BE$16,$BE$19,IF(Q832=$BF$16,$BF$19,IF(Q832=$BG$16,$BG$19))))),IF(N832=$BB$20,IF(Q832=$BC$16,$BC$20,IF(Q832=$BD$16,$BD$20,IF(Q832=$BE$16,$BE$20,IF(Q832=$BF$16,$BF$20,IF(Q832=$BG$16,$BG$20))))),IF(N832=$BB$21,IF(Q832=$BC$16,$BC$21,IF(Q832=$BD$16,$BD$21,IF(Q832=$BE$16,$BE$21,IF(Q832=$BF$16,$BF$21,IF(Q832=$BG$16,$BG$21))))),"")))))</f>
        <v>Moderado</v>
      </c>
      <c r="U832" s="139" t="s">
        <v>171</v>
      </c>
      <c r="V832" s="436" t="s">
        <v>946</v>
      </c>
      <c r="W832" s="313" t="s">
        <v>40</v>
      </c>
      <c r="X832" s="314">
        <f>IF(W832=[23]Listas!$B$46,[23]Listas!$C$46,IF(W832=[23]Listas!$B$47,[23]Listas!$C$47,IF(W832=[23]Listas!$B$48,[23]Listas!$C$48,"")))</f>
        <v>0.25</v>
      </c>
      <c r="Y832" s="315" t="str">
        <f>IF(OR(W832=[23]Listas!$F$53,W832=[23]Listas!$F$54),[23]Listas!$G$53,IF(W832=[23]Listas!$F$55,[23]Listas!$G$55,""))</f>
        <v>Probabilidad</v>
      </c>
      <c r="Z832" s="313" t="s">
        <v>43</v>
      </c>
      <c r="AA832" s="314">
        <f>+IF(Z832=[23]Listas!$E$46,[23]Listas!$F$46,IF(Z832=[23]Listas!$E$47,[23]Listas!$F$47,""))</f>
        <v>0.15</v>
      </c>
      <c r="AB832" s="181">
        <f>IFERROR(X832+AA832,"")</f>
        <v>0.4</v>
      </c>
      <c r="AC832" s="313" t="s">
        <v>57</v>
      </c>
      <c r="AD832" s="316" t="s">
        <v>58</v>
      </c>
      <c r="AE832" s="317" t="s">
        <v>59</v>
      </c>
      <c r="AF832" s="299" t="str">
        <f t="shared" si="117"/>
        <v>Baja</v>
      </c>
      <c r="AG832" s="141">
        <f>IF(Y832=[23]Listas!$G$53,O832-(O832*AB832),O832)</f>
        <v>0.36</v>
      </c>
      <c r="AH832" s="561">
        <f>+IF(AG841="","",AG841)</f>
        <v>0.216</v>
      </c>
      <c r="AI832" s="299" t="str">
        <f>IF(AJ832="","",IF(AJ832&lt;=20%,"Leve",IF(AJ832&lt;=40%,"Menor",IF(AJ832&lt;=60%,"Moderado",IF(AJ832&lt;=80%,"Mayor","Catastrófico")))))</f>
        <v>Leve</v>
      </c>
      <c r="AJ832" s="141">
        <f>IF(Y832=[23]Listas!$G$55,R832-(R832*AB832),R832)</f>
        <v>0.2</v>
      </c>
      <c r="AK832" s="561">
        <f>+IF(AJ841="","",AJ841)</f>
        <v>0.2</v>
      </c>
      <c r="AL832" s="564" t="str">
        <f>+IF(AH832=0,"",IF(AH832&lt;=$BA$21,$BB$21,IF(AH832&lt;=$BA$20,$BB$20,IF(AH832&lt;=$BA$19,$BB$19,IF(AH832&lt;=$BA$18,$BB$18,IF(AH832&lt;=$BA$17,$BB$17,""))))))</f>
        <v>Baja</v>
      </c>
      <c r="AM832" s="564" t="str">
        <f>+IF(AK832=0,"",IF(AK832&lt;=$BC$15,$BC$16,IF(AK832&lt;=$BD$15,$BD$16,IF(AK832&lt;=$BE$15,$BE$16,IF(AK832&lt;=$BF$15,$BF$16,IF(AK832&lt;=$BG$15,$BG$16,""))))))</f>
        <v>Leve</v>
      </c>
      <c r="AN832" s="564" t="str">
        <f>IF(AL832=$BB$17,IF(AM832=$BC$16,$BC$17,IF(AM832=$BD$16,$BD$17,IF(AM832=$BE$16,$BE$17,IF(AM832=$BF$16,$BF$17,IF(AM832=$BG$16,$BG$17))))),IF(AL832=$BB$18,IF(AM832=$BC$16,$BC$18,IF(AM832=$BD$16,$BD$18,IF(AM832=$BE$16,$BE$18,IF(AM832=$BF$16,$BF$18,IF(AM832=$BG$16,$BG$18))))),IF(AL832=$BB$19,IF(AM832=$BC$16,$BC$19,IF(AM832=$BD$16,$BD$19,IF(AM832=$BE$16,$BE$19,IF(AM832=$BF$16,$BF$19,IF(AM832=$BG$16,$BG$19))))),IF(AL832=$BB$20,IF(AM832=$BC$16,$BC$20,IF(AM832=$BD$16,$BD$20,IF(AM832=$BE$16,$BE$20,IF(AM832=$BF$16,$BF$20,IF(AM832=$BG$16,$BG$20))))),IF(AL832=$BB$21,IF(AM832=$BC$16,$BC$21,IF(AM832=$BD$16,$BD$21,IF(AM832=$BE$16,$BE$21,IF(AM832=$BF$16,$BF$21,IF(AM832=$BG$16,$BG$21))))),"")))))</f>
        <v>Bajo</v>
      </c>
      <c r="AO832" s="567" t="str">
        <f>IF(AP832="","",IF(AP832=[23]Listas!$F$61,[23]Listas!$G$61,IF(AP832=[23]Listas!$F$63,[23]Listas!$G$63,IF(AP832=[23]Listas!$F$64,[23]Listas!$G$64))))</f>
        <v>No requiere Plan de Acción</v>
      </c>
      <c r="AP832" s="570" t="str">
        <f>IF(AN832="","",IF(OR(AN832=[23]Listas!$E$61,AN832=[23]Listas!$E$62),[23]Listas!$F$61,IF(AN832=[23]Listas!$E$63,[23]Listas!$F$63,IF(AN832=[23]Listas!$E$64,[23]Listas!$F$64))))</f>
        <v>Aceptar  el riesgo</v>
      </c>
      <c r="AQ832" s="343" t="s">
        <v>90</v>
      </c>
      <c r="AR832" s="267" t="s">
        <v>947</v>
      </c>
    </row>
    <row r="833" spans="2:44" ht="126" customHeight="1" thickTop="1" thickBot="1" x14ac:dyDescent="0.4">
      <c r="B833" s="537"/>
      <c r="C833" s="560"/>
      <c r="D833" s="610"/>
      <c r="E833" s="577"/>
      <c r="F833" s="669"/>
      <c r="G833" s="663"/>
      <c r="H833" s="666"/>
      <c r="I833" s="589"/>
      <c r="J833" s="589"/>
      <c r="K833" s="592"/>
      <c r="L833" s="589"/>
      <c r="M833" s="595"/>
      <c r="N833" s="598"/>
      <c r="O833" s="601"/>
      <c r="P833" s="595"/>
      <c r="Q833" s="604"/>
      <c r="R833" s="601"/>
      <c r="S833" s="286"/>
      <c r="T833" s="604"/>
      <c r="U833" s="142" t="s">
        <v>174</v>
      </c>
      <c r="V833" s="418" t="s">
        <v>948</v>
      </c>
      <c r="W833" s="319" t="s">
        <v>40</v>
      </c>
      <c r="X833" s="320">
        <f>IF(W833=[23]Listas!$B$46,[23]Listas!$C$46,IF(W833=[23]Listas!$B$47,[23]Listas!$C$47,IF(W833=[23]Listas!$B$48,[23]Listas!$C$48,"")))</f>
        <v>0.25</v>
      </c>
      <c r="Y833" s="321" t="str">
        <f>IF(OR(W833=[23]Listas!$F$53,W833=[23]Listas!$F$54),[23]Listas!$G$53,IF(W833=[23]Listas!$F$55,[23]Listas!$G$55,""))</f>
        <v>Probabilidad</v>
      </c>
      <c r="Z833" s="319" t="s">
        <v>43</v>
      </c>
      <c r="AA833" s="182">
        <f>+IF(Z833=[23]Listas!$E$46,[23]Listas!$F$46,IF(Z833=[23]Listas!$E$47,[23]Listas!$F$47,""))</f>
        <v>0.15</v>
      </c>
      <c r="AB833" s="183">
        <f>IFERROR(X833+AA833,"")</f>
        <v>0.4</v>
      </c>
      <c r="AC833" s="319" t="s">
        <v>57</v>
      </c>
      <c r="AD833" s="322" t="s">
        <v>58</v>
      </c>
      <c r="AE833" s="323" t="s">
        <v>59</v>
      </c>
      <c r="AF833" s="305" t="str">
        <f t="shared" si="117"/>
        <v>Baja</v>
      </c>
      <c r="AG833" s="145">
        <f>IF(Y833=[23]Listas!$G$53,AG832-(AG832*AB833),AG832)</f>
        <v>0.216</v>
      </c>
      <c r="AH833" s="562"/>
      <c r="AI833" s="305" t="str">
        <f t="shared" si="124"/>
        <v>Leve</v>
      </c>
      <c r="AJ833" s="145">
        <f>IF(Y833=[23]Listas!$G$55,AJ832-(AJ832*AB833),AJ832)</f>
        <v>0.2</v>
      </c>
      <c r="AK833" s="562"/>
      <c r="AL833" s="565"/>
      <c r="AM833" s="565"/>
      <c r="AN833" s="565"/>
      <c r="AO833" s="568"/>
      <c r="AP833" s="571"/>
      <c r="AQ833" s="343"/>
      <c r="AR833" s="191"/>
    </row>
    <row r="834" spans="2:44" ht="15" hidden="1" thickTop="1" thickBot="1" x14ac:dyDescent="0.4">
      <c r="B834" s="537"/>
      <c r="C834" s="560"/>
      <c r="D834" s="610"/>
      <c r="E834" s="577"/>
      <c r="F834" s="669"/>
      <c r="G834" s="663"/>
      <c r="H834" s="666"/>
      <c r="I834" s="589"/>
      <c r="J834" s="589"/>
      <c r="K834" s="592"/>
      <c r="L834" s="589"/>
      <c r="M834" s="595"/>
      <c r="N834" s="598"/>
      <c r="O834" s="601"/>
      <c r="P834" s="595"/>
      <c r="Q834" s="604"/>
      <c r="R834" s="601"/>
      <c r="S834" s="287"/>
      <c r="T834" s="604"/>
      <c r="U834" s="142" t="s">
        <v>180</v>
      </c>
      <c r="V834" s="418"/>
      <c r="W834" s="331"/>
      <c r="X834" s="320" t="str">
        <f>IF(W834=[23]Listas!$B$46,[23]Listas!$C$46,IF(W834=[23]Listas!$B$47,[23]Listas!$C$47,IF(W834=[23]Listas!$B$48,[23]Listas!$C$48,"")))</f>
        <v/>
      </c>
      <c r="Y834" s="321" t="str">
        <f>IF(OR(W834=[23]Listas!$F$53,W834=[23]Listas!$F$54),[23]Listas!$G$53,IF(W834=[23]Listas!$F$55,[23]Listas!$G$55,""))</f>
        <v/>
      </c>
      <c r="Z834" s="319"/>
      <c r="AA834" s="182" t="str">
        <f>+IF(Z834=[23]Listas!$E$46,[23]Listas!$F$46,IF(Z834=[23]Listas!$E$47,[23]Listas!$F$47,""))</f>
        <v/>
      </c>
      <c r="AB834" s="183" t="str">
        <f>IFERROR(X834+AA834,"")</f>
        <v/>
      </c>
      <c r="AC834" s="325"/>
      <c r="AD834" s="326"/>
      <c r="AE834" s="327"/>
      <c r="AF834" s="305" t="str">
        <f t="shared" si="117"/>
        <v>Baja</v>
      </c>
      <c r="AG834" s="145">
        <f>IF(Y834=[23]Listas!$G$53,AG833-(AG833*AB834),AG833)</f>
        <v>0.216</v>
      </c>
      <c r="AH834" s="562"/>
      <c r="AI834" s="305" t="str">
        <f t="shared" si="124"/>
        <v>Leve</v>
      </c>
      <c r="AJ834" s="145">
        <f>IF(Y834=[23]Listas!$G$55,AJ833-(AJ833*AB834),AJ833)</f>
        <v>0.2</v>
      </c>
      <c r="AK834" s="562"/>
      <c r="AL834" s="565"/>
      <c r="AM834" s="565"/>
      <c r="AN834" s="565"/>
      <c r="AO834" s="568"/>
      <c r="AP834" s="571"/>
      <c r="AQ834" s="344"/>
      <c r="AR834" s="191"/>
    </row>
    <row r="835" spans="2:44" ht="16" hidden="1" customHeight="1" thickTop="1" thickBot="1" x14ac:dyDescent="0.4">
      <c r="B835" s="537"/>
      <c r="C835" s="560"/>
      <c r="D835" s="610"/>
      <c r="E835" s="577"/>
      <c r="F835" s="669"/>
      <c r="G835" s="663"/>
      <c r="H835" s="666"/>
      <c r="I835" s="589"/>
      <c r="J835" s="589"/>
      <c r="K835" s="592"/>
      <c r="L835" s="589"/>
      <c r="M835" s="595"/>
      <c r="N835" s="598"/>
      <c r="O835" s="601"/>
      <c r="P835" s="595"/>
      <c r="Q835" s="604"/>
      <c r="R835" s="601"/>
      <c r="S835" s="287"/>
      <c r="T835" s="604"/>
      <c r="U835" s="142" t="s">
        <v>190</v>
      </c>
      <c r="V835" s="418"/>
      <c r="W835" s="319"/>
      <c r="X835" s="320" t="str">
        <f>IF(W835=[23]Listas!$B$46,[23]Listas!$C$46,IF(W835=[23]Listas!$B$47,[23]Listas!$C$47,IF(W835=[23]Listas!$B$48,[23]Listas!$C$48,"")))</f>
        <v/>
      </c>
      <c r="Y835" s="321" t="str">
        <f>IF(OR(W835=[23]Listas!$F$53,W835=[23]Listas!$F$54),[23]Listas!$G$53,IF(W835=[23]Listas!$F$55,[23]Listas!$G$55,""))</f>
        <v/>
      </c>
      <c r="Z835" s="319"/>
      <c r="AA835" s="182" t="str">
        <f>+IF(Z835=[23]Listas!$E$46,[23]Listas!$F$46,IF(Z835=[23]Listas!$E$47,[23]Listas!$F$47,""))</f>
        <v/>
      </c>
      <c r="AB835" s="183" t="str">
        <f t="shared" ref="AB835:AB841" si="127">IFERROR(X835+AA835,"")</f>
        <v/>
      </c>
      <c r="AC835" s="328"/>
      <c r="AD835" s="329"/>
      <c r="AE835" s="330"/>
      <c r="AF835" s="305" t="str">
        <f t="shared" si="117"/>
        <v>Baja</v>
      </c>
      <c r="AG835" s="145">
        <f>IF(Y835=[23]Listas!$G$53,AG834-(AG834*AB835),AG834)</f>
        <v>0.216</v>
      </c>
      <c r="AH835" s="562"/>
      <c r="AI835" s="305" t="str">
        <f t="shared" si="124"/>
        <v>Leve</v>
      </c>
      <c r="AJ835" s="145">
        <f>IF(Y835=[23]Listas!$G$55,AJ834-(AJ834*AB835),AJ834)</f>
        <v>0.2</v>
      </c>
      <c r="AK835" s="562"/>
      <c r="AL835" s="565"/>
      <c r="AM835" s="565"/>
      <c r="AN835" s="565"/>
      <c r="AO835" s="568"/>
      <c r="AP835" s="571"/>
      <c r="AQ835" s="343"/>
      <c r="AR835" s="191"/>
    </row>
    <row r="836" spans="2:44" ht="16" hidden="1" customHeight="1" thickTop="1" thickBot="1" x14ac:dyDescent="0.4">
      <c r="B836" s="537"/>
      <c r="C836" s="560"/>
      <c r="D836" s="610"/>
      <c r="E836" s="577"/>
      <c r="F836" s="669"/>
      <c r="G836" s="663"/>
      <c r="H836" s="666"/>
      <c r="I836" s="589"/>
      <c r="J836" s="589"/>
      <c r="K836" s="592"/>
      <c r="L836" s="589"/>
      <c r="M836" s="595"/>
      <c r="N836" s="598"/>
      <c r="O836" s="601"/>
      <c r="P836" s="595"/>
      <c r="Q836" s="604"/>
      <c r="R836" s="601"/>
      <c r="S836" s="287"/>
      <c r="T836" s="604"/>
      <c r="U836" s="142" t="s">
        <v>198</v>
      </c>
      <c r="V836" s="418"/>
      <c r="W836" s="331"/>
      <c r="X836" s="320" t="str">
        <f>IF(W836=[23]Listas!$B$46,[23]Listas!$C$46,IF(W836=[23]Listas!$B$47,[23]Listas!$C$47,IF(W836=[23]Listas!$B$48,[23]Listas!$C$48,"")))</f>
        <v/>
      </c>
      <c r="Y836" s="321" t="str">
        <f>IF(OR(W836=[23]Listas!$F$53,W836=[23]Listas!$F$54),[23]Listas!$G$53,IF(W836=[23]Listas!$F$55,[23]Listas!$G$55,""))</f>
        <v/>
      </c>
      <c r="Z836" s="331"/>
      <c r="AA836" s="182" t="str">
        <f>+IF(Z836=[23]Listas!$E$46,[23]Listas!$F$46,IF(Z836=[23]Listas!$E$47,[23]Listas!$F$47,""))</f>
        <v/>
      </c>
      <c r="AB836" s="183" t="str">
        <f t="shared" si="127"/>
        <v/>
      </c>
      <c r="AC836" s="319"/>
      <c r="AD836" s="322"/>
      <c r="AE836" s="323"/>
      <c r="AF836" s="305" t="str">
        <f t="shared" si="117"/>
        <v>Baja</v>
      </c>
      <c r="AG836" s="145">
        <f>IF(Y836=[23]Listas!$G$53,AG835-(AG835*AB836),AG835)</f>
        <v>0.216</v>
      </c>
      <c r="AH836" s="562"/>
      <c r="AI836" s="305" t="str">
        <f t="shared" si="124"/>
        <v>Leve</v>
      </c>
      <c r="AJ836" s="145">
        <f>IF(Y836=[23]Listas!$G$55,AJ835-(AJ835*AB836),AJ835)</f>
        <v>0.2</v>
      </c>
      <c r="AK836" s="562"/>
      <c r="AL836" s="565"/>
      <c r="AM836" s="565"/>
      <c r="AN836" s="565"/>
      <c r="AO836" s="568"/>
      <c r="AP836" s="571"/>
      <c r="AQ836" s="343"/>
      <c r="AR836" s="191"/>
    </row>
    <row r="837" spans="2:44" ht="16" hidden="1" customHeight="1" thickTop="1" thickBot="1" x14ac:dyDescent="0.4">
      <c r="B837" s="537"/>
      <c r="C837" s="560"/>
      <c r="D837" s="610"/>
      <c r="E837" s="577"/>
      <c r="F837" s="669"/>
      <c r="G837" s="663"/>
      <c r="H837" s="666"/>
      <c r="I837" s="589"/>
      <c r="J837" s="589"/>
      <c r="K837" s="592"/>
      <c r="L837" s="589"/>
      <c r="M837" s="595"/>
      <c r="N837" s="598"/>
      <c r="O837" s="601"/>
      <c r="P837" s="595"/>
      <c r="Q837" s="604"/>
      <c r="R837" s="601"/>
      <c r="S837" s="288"/>
      <c r="T837" s="604"/>
      <c r="U837" s="142" t="s">
        <v>208</v>
      </c>
      <c r="V837" s="418"/>
      <c r="W837" s="331"/>
      <c r="X837" s="320" t="str">
        <f>IF(W837=[23]Listas!$B$46,[23]Listas!$C$46,IF(W837=[23]Listas!$B$47,[23]Listas!$C$47,IF(W837=[23]Listas!$B$48,[23]Listas!$C$48,"")))</f>
        <v/>
      </c>
      <c r="Y837" s="321" t="str">
        <f>IF(OR(W837=[23]Listas!$F$53,W837=[23]Listas!$F$54),[23]Listas!$G$53,IF(W837=[23]Listas!$F$55,[23]Listas!$G$55,""))</f>
        <v/>
      </c>
      <c r="Z837" s="331"/>
      <c r="AA837" s="182" t="str">
        <f>+IF(Z837=[23]Listas!$E$46,[23]Listas!$F$46,IF(Z837=[23]Listas!$E$47,[23]Listas!$F$47,""))</f>
        <v/>
      </c>
      <c r="AB837" s="183" t="str">
        <f t="shared" si="127"/>
        <v/>
      </c>
      <c r="AC837" s="319"/>
      <c r="AD837" s="322"/>
      <c r="AE837" s="323"/>
      <c r="AF837" s="305" t="str">
        <f t="shared" si="117"/>
        <v>Baja</v>
      </c>
      <c r="AG837" s="145">
        <f>IF(Y837=[23]Listas!$G$53,AG836-(AG836*AB837),AG836)</f>
        <v>0.216</v>
      </c>
      <c r="AH837" s="562"/>
      <c r="AI837" s="305" t="str">
        <f t="shared" si="124"/>
        <v>Leve</v>
      </c>
      <c r="AJ837" s="145">
        <f>IF(Y837=[23]Listas!$G$55,AJ836-(AJ836*AB837),AJ836)</f>
        <v>0.2</v>
      </c>
      <c r="AK837" s="562"/>
      <c r="AL837" s="565"/>
      <c r="AM837" s="565"/>
      <c r="AN837" s="565"/>
      <c r="AO837" s="568"/>
      <c r="AP837" s="571"/>
      <c r="AQ837" s="343"/>
      <c r="AR837" s="191"/>
    </row>
    <row r="838" spans="2:44" ht="16" hidden="1" customHeight="1" thickTop="1" thickBot="1" x14ac:dyDescent="0.4">
      <c r="B838" s="537"/>
      <c r="C838" s="560"/>
      <c r="D838" s="610"/>
      <c r="E838" s="577"/>
      <c r="F838" s="669"/>
      <c r="G838" s="663"/>
      <c r="H838" s="666"/>
      <c r="I838" s="589"/>
      <c r="J838" s="589"/>
      <c r="K838" s="592"/>
      <c r="L838" s="589"/>
      <c r="M838" s="595"/>
      <c r="N838" s="598"/>
      <c r="O838" s="601"/>
      <c r="P838" s="595"/>
      <c r="Q838" s="604"/>
      <c r="R838" s="601"/>
      <c r="S838" s="289"/>
      <c r="T838" s="604"/>
      <c r="U838" s="142" t="s">
        <v>215</v>
      </c>
      <c r="V838" s="418"/>
      <c r="W838" s="331"/>
      <c r="X838" s="320" t="str">
        <f>IF(W838=[23]Listas!$B$46,[23]Listas!$C$46,IF(W838=[23]Listas!$B$47,[23]Listas!$C$47,IF(W838=[23]Listas!$B$48,[23]Listas!$C$48,"")))</f>
        <v/>
      </c>
      <c r="Y838" s="321" t="str">
        <f>IF(OR(W838=[23]Listas!$F$53,W838=[23]Listas!$F$54),[23]Listas!$G$53,IF(W838=[23]Listas!$F$55,[23]Listas!$G$55,""))</f>
        <v/>
      </c>
      <c r="Z838" s="331"/>
      <c r="AA838" s="182" t="str">
        <f>+IF(Z838=[23]Listas!$E$46,[23]Listas!$F$46,IF(Z838=[23]Listas!$E$47,[23]Listas!$F$47,""))</f>
        <v/>
      </c>
      <c r="AB838" s="183" t="str">
        <f t="shared" si="127"/>
        <v/>
      </c>
      <c r="AC838" s="319"/>
      <c r="AD838" s="322"/>
      <c r="AE838" s="323"/>
      <c r="AF838" s="305" t="str">
        <f t="shared" si="117"/>
        <v>Baja</v>
      </c>
      <c r="AG838" s="145">
        <f>IF(Y838=[23]Listas!$G$53,AG837-(AG837*AB838),AG837)</f>
        <v>0.216</v>
      </c>
      <c r="AH838" s="562"/>
      <c r="AI838" s="305" t="str">
        <f t="shared" si="124"/>
        <v>Leve</v>
      </c>
      <c r="AJ838" s="145">
        <f>IF(Y838=[23]Listas!$G$55,AJ837-(AJ837*AB838),AJ837)</f>
        <v>0.2</v>
      </c>
      <c r="AK838" s="562"/>
      <c r="AL838" s="565"/>
      <c r="AM838" s="565"/>
      <c r="AN838" s="565"/>
      <c r="AO838" s="568"/>
      <c r="AP838" s="571"/>
      <c r="AQ838" s="344"/>
      <c r="AR838" s="191"/>
    </row>
    <row r="839" spans="2:44" ht="16" hidden="1" customHeight="1" thickTop="1" thickBot="1" x14ac:dyDescent="0.4">
      <c r="B839" s="537"/>
      <c r="C839" s="560"/>
      <c r="D839" s="610"/>
      <c r="E839" s="577"/>
      <c r="F839" s="669"/>
      <c r="G839" s="663"/>
      <c r="H839" s="666"/>
      <c r="I839" s="589"/>
      <c r="J839" s="589"/>
      <c r="K839" s="592"/>
      <c r="L839" s="589"/>
      <c r="M839" s="595"/>
      <c r="N839" s="598"/>
      <c r="O839" s="601"/>
      <c r="P839" s="595"/>
      <c r="Q839" s="604"/>
      <c r="R839" s="601"/>
      <c r="S839" s="289"/>
      <c r="T839" s="604"/>
      <c r="U839" s="142" t="s">
        <v>220</v>
      </c>
      <c r="V839" s="418"/>
      <c r="W839" s="331"/>
      <c r="X839" s="320" t="str">
        <f>IF(W839=[23]Listas!$B$46,[23]Listas!$C$46,IF(W839=[23]Listas!$B$47,[23]Listas!$C$47,IF(W839=[23]Listas!$B$48,[23]Listas!$C$48,"")))</f>
        <v/>
      </c>
      <c r="Y839" s="321" t="str">
        <f>IF(OR(W839=[23]Listas!$F$53,W839=[23]Listas!$F$54),[23]Listas!$G$53,IF(W839=[23]Listas!$F$55,[23]Listas!$G$55,""))</f>
        <v/>
      </c>
      <c r="Z839" s="331"/>
      <c r="AA839" s="182" t="str">
        <f>+IF(Z839=[23]Listas!$E$46,[23]Listas!$F$46,IF(Z839=[23]Listas!$E$47,[23]Listas!$F$47,""))</f>
        <v/>
      </c>
      <c r="AB839" s="183" t="str">
        <f t="shared" si="127"/>
        <v/>
      </c>
      <c r="AC839" s="319"/>
      <c r="AD839" s="322"/>
      <c r="AE839" s="323"/>
      <c r="AF839" s="305" t="str">
        <f t="shared" si="117"/>
        <v>Baja</v>
      </c>
      <c r="AG839" s="145">
        <f>IF(Y839=[23]Listas!$G$53,AG838-(AG838*AB839),AG838)</f>
        <v>0.216</v>
      </c>
      <c r="AH839" s="562"/>
      <c r="AI839" s="305" t="str">
        <f t="shared" si="124"/>
        <v>Leve</v>
      </c>
      <c r="AJ839" s="145">
        <f>IF(Y839=[23]Listas!$G$55,AJ838-(AJ838*AB839),AJ838)</f>
        <v>0.2</v>
      </c>
      <c r="AK839" s="562"/>
      <c r="AL839" s="565"/>
      <c r="AM839" s="565"/>
      <c r="AN839" s="565"/>
      <c r="AO839" s="568"/>
      <c r="AP839" s="571"/>
      <c r="AQ839" s="345"/>
      <c r="AR839" s="191"/>
    </row>
    <row r="840" spans="2:44" ht="16" hidden="1" customHeight="1" thickTop="1" thickBot="1" x14ac:dyDescent="0.4">
      <c r="B840" s="537"/>
      <c r="C840" s="560"/>
      <c r="D840" s="610"/>
      <c r="E840" s="577"/>
      <c r="F840" s="669"/>
      <c r="G840" s="663"/>
      <c r="H840" s="666"/>
      <c r="I840" s="589"/>
      <c r="J840" s="589"/>
      <c r="K840" s="592"/>
      <c r="L840" s="589"/>
      <c r="M840" s="595"/>
      <c r="N840" s="598"/>
      <c r="O840" s="601"/>
      <c r="P840" s="595"/>
      <c r="Q840" s="604"/>
      <c r="R840" s="601"/>
      <c r="S840" s="289"/>
      <c r="T840" s="604"/>
      <c r="U840" s="142" t="s">
        <v>223</v>
      </c>
      <c r="V840" s="418"/>
      <c r="W840" s="331"/>
      <c r="X840" s="320" t="str">
        <f>IF(W840=[23]Listas!$B$46,[23]Listas!$C$46,IF(W840=[23]Listas!$B$47,[23]Listas!$C$47,IF(W840=[23]Listas!$B$48,[23]Listas!$C$48,"")))</f>
        <v/>
      </c>
      <c r="Y840" s="321" t="str">
        <f>IF(OR(W840=[23]Listas!$F$53,W840=[23]Listas!$F$54),[23]Listas!$G$53,IF(W840=[23]Listas!$F$55,[23]Listas!$G$55,""))</f>
        <v/>
      </c>
      <c r="Z840" s="331"/>
      <c r="AA840" s="182" t="str">
        <f>+IF(Z840=[23]Listas!$E$46,[23]Listas!$F$46,IF(Z840=[23]Listas!$E$47,[23]Listas!$F$47,""))</f>
        <v/>
      </c>
      <c r="AB840" s="183" t="str">
        <f t="shared" si="127"/>
        <v/>
      </c>
      <c r="AC840" s="319"/>
      <c r="AD840" s="322"/>
      <c r="AE840" s="323"/>
      <c r="AF840" s="305" t="str">
        <f t="shared" si="117"/>
        <v>Baja</v>
      </c>
      <c r="AG840" s="145">
        <f>IF(Y840=[23]Listas!$G$53,AG839-(AG839*AB840),AG839)</f>
        <v>0.216</v>
      </c>
      <c r="AH840" s="562"/>
      <c r="AI840" s="305" t="str">
        <f t="shared" si="124"/>
        <v>Leve</v>
      </c>
      <c r="AJ840" s="145">
        <f>IF(Y840=[23]Listas!$G$55,AJ839-(AJ839*AB840),AJ839)</f>
        <v>0.2</v>
      </c>
      <c r="AK840" s="562"/>
      <c r="AL840" s="565"/>
      <c r="AM840" s="565"/>
      <c r="AN840" s="565"/>
      <c r="AO840" s="568"/>
      <c r="AP840" s="571"/>
      <c r="AQ840" s="343"/>
      <c r="AR840" s="191"/>
    </row>
    <row r="841" spans="2:44" ht="16" hidden="1" customHeight="1" thickTop="1" thickBot="1" x14ac:dyDescent="0.4">
      <c r="B841" s="537"/>
      <c r="C841" s="560"/>
      <c r="D841" s="611"/>
      <c r="E841" s="578"/>
      <c r="F841" s="670"/>
      <c r="G841" s="664"/>
      <c r="H841" s="667"/>
      <c r="I841" s="590"/>
      <c r="J841" s="590"/>
      <c r="K841" s="593"/>
      <c r="L841" s="590"/>
      <c r="M841" s="596"/>
      <c r="N841" s="599"/>
      <c r="O841" s="602"/>
      <c r="P841" s="596"/>
      <c r="Q841" s="605"/>
      <c r="R841" s="602"/>
      <c r="S841" s="293"/>
      <c r="T841" s="605"/>
      <c r="U841" s="202" t="s">
        <v>224</v>
      </c>
      <c r="V841" s="416"/>
      <c r="W841" s="335"/>
      <c r="X841" s="336" t="str">
        <f>IF(W841=[23]Listas!$B$46,[23]Listas!$C$46,IF(W841=[23]Listas!$B$47,[23]Listas!$C$47,IF(W841=[23]Listas!$B$48,[23]Listas!$C$48,"")))</f>
        <v/>
      </c>
      <c r="Y841" s="337" t="str">
        <f>IF(OR(W841=[23]Listas!$F$53,W841=[23]Listas!$F$54),[23]Listas!$G$53,IF(W841=[23]Listas!$F$55,[23]Listas!$G$55,""))</f>
        <v/>
      </c>
      <c r="Z841" s="335"/>
      <c r="AA841" s="186" t="str">
        <f>+IF(Z841=[23]Listas!$E$46,[23]Listas!$F$46,IF(Z841=[23]Listas!$E$47,[23]Listas!$F$47,""))</f>
        <v/>
      </c>
      <c r="AB841" s="187" t="str">
        <f t="shared" si="127"/>
        <v/>
      </c>
      <c r="AC841" s="338"/>
      <c r="AD841" s="339"/>
      <c r="AE841" s="340"/>
      <c r="AF841" s="311" t="str">
        <f t="shared" si="117"/>
        <v>Baja</v>
      </c>
      <c r="AG841" s="179">
        <f>IF(Y841=[23]Listas!$G$53,AG840-(AG840*AB841),AG840)</f>
        <v>0.216</v>
      </c>
      <c r="AH841" s="563"/>
      <c r="AI841" s="311" t="str">
        <f t="shared" si="124"/>
        <v>Leve</v>
      </c>
      <c r="AJ841" s="179">
        <f>IF(Y841=[23]Listas!$G$55,AJ840-(AJ840*AB841),AJ840)</f>
        <v>0.2</v>
      </c>
      <c r="AK841" s="563"/>
      <c r="AL841" s="566"/>
      <c r="AM841" s="566"/>
      <c r="AN841" s="566"/>
      <c r="AO841" s="569"/>
      <c r="AP841" s="572"/>
      <c r="AQ841" s="359"/>
      <c r="AR841" s="192"/>
    </row>
    <row r="842" spans="2:44" ht="127.5" customHeight="1" thickTop="1" thickBot="1" x14ac:dyDescent="0.4">
      <c r="B842" s="537"/>
      <c r="C842" s="560"/>
      <c r="D842" s="609" t="s">
        <v>949</v>
      </c>
      <c r="E842" s="576" t="s">
        <v>4</v>
      </c>
      <c r="F842" s="645" t="s">
        <v>950</v>
      </c>
      <c r="G842" s="662" t="s">
        <v>951</v>
      </c>
      <c r="H842" s="665" t="s">
        <v>952</v>
      </c>
      <c r="I842" s="588" t="s">
        <v>20</v>
      </c>
      <c r="J842" s="588" t="s">
        <v>22</v>
      </c>
      <c r="K842" s="591"/>
      <c r="L842" s="588" t="s">
        <v>168</v>
      </c>
      <c r="M842" s="594" t="s">
        <v>169</v>
      </c>
      <c r="N842" s="597" t="str">
        <f>+IF(M842="","",IF(M842=$BO$15,$BN$15,IF(M842=$BO$16,$BN$16,IF(M842=$BO$17,$BN$17,IF(M842=$BO$18,$BN$18,IF(M842=$BO$19,$BN$19))))))</f>
        <v>Alta</v>
      </c>
      <c r="O842" s="600">
        <f>+IF(M842="","",IF(M842=$BO$15,$BR$15,IF(M842=$BO$16,$BR$16,IF(M842=$BO$17,$BR$17,IF(M842=$BO$18,$BR$18,IF(M842=$BO$19,$BR$19))))))</f>
        <v>0.8</v>
      </c>
      <c r="P842" s="594" t="s">
        <v>211</v>
      </c>
      <c r="Q842" s="603" t="str">
        <f>+IF(P842="","",IF(P842='[23]Mapa de Calor inherente'!$AF$6,'[23]Mapa de Calor inherente'!$AD$6,IF(P842='[23]Mapa de Calor inherente'!$AF$7,'[23]Mapa de Calor inherente'!$AD$7,IF(P842='[23]Mapa de Calor inherente'!$AF$8,'[23]Mapa de Calor inherente'!$AD$8,IF(P842='[23]Mapa de Calor inherente'!$AF$9,'[23]Mapa de Calor inherente'!$AD$9,IF(P842='[23]Mapa de Calor inherente'!$AF$10,'[23]Mapa de Calor inherente'!$AD$10,IF(P842='[23]Mapa de Calor inherente'!$AG$6,'[23]Mapa de Calor inherente'!$AD$6,IF(P842='[23]Mapa de Calor inherente'!$AG$7,'[23]Mapa de Calor inherente'!$AD$7,IF(P842='[23]Mapa de Calor inherente'!$AG$8,'[23]Mapa de Calor inherente'!$AD$8,IF(P842='[23]Mapa de Calor inherente'!$AG$9,'[23]Mapa de Calor inherente'!$AD$9,IF(P842='[23]Mapa de Calor inherente'!$AG$10,'[23]Mapa de Calor inherente'!$AD$10,IF(P842='[23]Mapa de Calor inherente'!$AD$8,'[23]Mapa de Calor inherente'!$AD$8,IF(P842='[23]Mapa de Calor inherente'!$AD$9,'[23]Mapa de Calor inherente'!$AD$9,IF(P842='[23]Mapa de Calor inherente'!$AD$10,'[23]Mapa de Calor inherente'!$AD$10))))))))))))))</f>
        <v>Moderado</v>
      </c>
      <c r="R842" s="600">
        <f>+IF(P842="","",IF(P842='[23]Mapa de Calor inherente'!$AF$6,'[23]Mapa de Calor inherente'!$AE$6,IF(P842='[23]Mapa de Calor inherente'!$AF$7,'[23]Mapa de Calor inherente'!$AE$7,IF(P842='[23]Mapa de Calor inherente'!$AF$8,'[23]Mapa de Calor inherente'!$AE$8,IF(P842='[23]Mapa de Calor inherente'!$AF$9,'[23]Mapa de Calor inherente'!$AE$9,IF(P842='[23]Mapa de Calor inherente'!$AF$10,'[23]Mapa de Calor inherente'!$AE$10,IF(P842='[23]Mapa de Calor inherente'!$AG$6,'[23]Mapa de Calor inherente'!$AE$6,IF(P842='[23]Mapa de Calor inherente'!$AG$7,'[23]Mapa de Calor inherente'!$AE$7,IF(P842='[23]Mapa de Calor inherente'!$AG$8,'[23]Mapa de Calor inherente'!$AE$8,IF(P842='[23]Mapa de Calor inherente'!$AG$9,'[23]Mapa de Calor inherente'!$AE$9,IF(P842='[23]Mapa de Calor inherente'!$AG$10,'[23]Mapa de Calor inherente'!$AE$10,IF(P842='[23]Mapa de Calor inherente'!$AD$8,'[23]Mapa de Calor inherente'!$AE$8,IF(P842='[23]Mapa de Calor inherente'!$AD$9,'[23]Mapa de Calor inherente'!$AE$9,IF(P842='[23]Mapa de Calor inherente'!$AD$10,'[23]Mapa de Calor inherente'!$AE$10))))))))))))))</f>
        <v>0.6</v>
      </c>
      <c r="S842" s="292" t="e">
        <f>IF(N842="","",IF(R842="","",(N842*R842)))</f>
        <v>#VALUE!</v>
      </c>
      <c r="T842" s="603" t="str">
        <f>+IF(N842=$BB$17,IF(Q842=$BC$16,$BC$17,IF(Q842=$BD$16,$BD$17,IF(Q842=$BE$16,$BE$17,IF(Q842=$BF$16,$BF$17,IF(Q842=$BG$16,$BG$17))))),IF(N842=$BB$18,IF(Q842=$BC$16,$BC$18,IF(Q842=$BD$16,$BD$18,IF(Q842=$BE$16,$BE$18,IF(Q842=$BF$16,$BF$18,IF(Q842=$BG$16,$BG$18))))),IF(N842=$BB$19,IF(Q842=$BC$16,$BC$19,IF(Q842=$BD$16,$BD$19,IF(Q842=$BE$16,$BE$19,IF(Q842=$BF$16,$BF$19,IF(Q842=$BG$16,$BG$19))))),IF(N842=$BB$20,IF(Q842=$BC$16,$BC$20,IF(Q842=$BD$16,$BD$20,IF(Q842=$BE$16,$BE$20,IF(Q842=$BF$16,$BF$20,IF(Q842=$BG$16,$BG$20))))),IF(N842=$BB$21,IF(Q842=$BC$16,$BC$21,IF(Q842=$BD$16,$BD$21,IF(Q842=$BE$16,$BE$21,IF(Q842=$BF$16,$BF$21,IF(Q842=$BG$16,$BG$21))))),"")))))</f>
        <v>Alto</v>
      </c>
      <c r="U842" s="139" t="s">
        <v>171</v>
      </c>
      <c r="V842" s="455" t="s">
        <v>953</v>
      </c>
      <c r="W842" s="313" t="s">
        <v>40</v>
      </c>
      <c r="X842" s="314">
        <f>IF(W842=[23]Listas!$B$46,[23]Listas!$C$46,IF(W842=[23]Listas!$B$47,[23]Listas!$C$47,IF(W842=[23]Listas!$B$48,[23]Listas!$C$48,"")))</f>
        <v>0.25</v>
      </c>
      <c r="Y842" s="315" t="str">
        <f>IF(OR(W842=[23]Listas!$F$53,W842=[23]Listas!$F$54),[23]Listas!$G$53,IF(W842=[23]Listas!$F$55,[23]Listas!$G$55,""))</f>
        <v>Probabilidad</v>
      </c>
      <c r="Z842" s="313" t="s">
        <v>43</v>
      </c>
      <c r="AA842" s="314">
        <f>+IF(Z842=[23]Listas!$E$46,[23]Listas!$F$46,IF(Z842=[23]Listas!$E$47,[23]Listas!$F$47,""))</f>
        <v>0.15</v>
      </c>
      <c r="AB842" s="181">
        <f>IFERROR(X842+AA842,"")</f>
        <v>0.4</v>
      </c>
      <c r="AC842" s="313" t="s">
        <v>57</v>
      </c>
      <c r="AD842" s="316" t="s">
        <v>58</v>
      </c>
      <c r="AE842" s="317" t="s">
        <v>59</v>
      </c>
      <c r="AF842" s="299" t="str">
        <f t="shared" si="117"/>
        <v>Media</v>
      </c>
      <c r="AG842" s="141">
        <f>IF(Y842=[23]Listas!$G$53,O842-(O842*AB842),O842)</f>
        <v>0.48</v>
      </c>
      <c r="AH842" s="561">
        <f>+IF(AG851="","",AG851)</f>
        <v>0.28799999999999998</v>
      </c>
      <c r="AI842" s="299" t="str">
        <f>IF(AJ842="","",IF(AJ842&lt;=20%,"Leve",IF(AJ842&lt;=40%,"Menor",IF(AJ842&lt;=60%,"Moderado",IF(AJ842&lt;=80%,"Mayor","Catastrófico")))))</f>
        <v>Moderado</v>
      </c>
      <c r="AJ842" s="141">
        <f>IF(Y842=[23]Listas!$G$55,R842-(R842*AB842),R842)</f>
        <v>0.6</v>
      </c>
      <c r="AK842" s="561">
        <f>+IF(AJ851="","",AJ851)</f>
        <v>0.6</v>
      </c>
      <c r="AL842" s="564" t="str">
        <f>+IF(AH842=0,"",IF(AH842&lt;=$BA$21,$BB$21,IF(AH842&lt;=$BA$20,$BB$20,IF(AH842&lt;=$BA$19,$BB$19,IF(AH842&lt;=$BA$18,$BB$18,IF(AH842&lt;=$BA$17,$BB$17,""))))))</f>
        <v>Baja</v>
      </c>
      <c r="AM842" s="564" t="str">
        <f>+IF(AK842=0,"",IF(AK842&lt;=$BC$15,$BC$16,IF(AK842&lt;=$BD$15,$BD$16,IF(AK842&lt;=$BE$15,$BE$16,IF(AK842&lt;=$BF$15,$BF$16,IF(AK842&lt;=$BG$15,$BG$16,""))))))</f>
        <v>Moderado</v>
      </c>
      <c r="AN842" s="564" t="str">
        <f>IF(AL842=$BB$17,IF(AM842=$BC$16,$BC$17,IF(AM842=$BD$16,$BD$17,IF(AM842=$BE$16,$BE$17,IF(AM842=$BF$16,$BF$17,IF(AM842=$BG$16,$BG$17))))),IF(AL842=$BB$18,IF(AM842=$BC$16,$BC$18,IF(AM842=$BD$16,$BD$18,IF(AM842=$BE$16,$BE$18,IF(AM842=$BF$16,$BF$18,IF(AM842=$BG$16,$BG$18))))),IF(AL842=$BB$19,IF(AM842=$BC$16,$BC$19,IF(AM842=$BD$16,$BD$19,IF(AM842=$BE$16,$BE$19,IF(AM842=$BF$16,$BF$19,IF(AM842=$BG$16,$BG$19))))),IF(AL842=$BB$20,IF(AM842=$BC$16,$BC$20,IF(AM842=$BD$16,$BD$20,IF(AM842=$BE$16,$BE$20,IF(AM842=$BF$16,$BF$20,IF(AM842=$BG$16,$BG$20))))),IF(AL842=$BB$21,IF(AM842=$BC$16,$BC$21,IF(AM842=$BD$16,$BD$21,IF(AM842=$BE$16,$BE$21,IF(AM842=$BF$16,$BF$21,IF(AM842=$BG$16,$BG$21))))),"")))))</f>
        <v>Moderado</v>
      </c>
      <c r="AO842" s="567" t="str">
        <f>IF(AP842="","",IF(AP842=[23]Listas!$F$61,[23]Listas!$G$61,IF(AP842=[23]Listas!$F$63,[23]Listas!$G$63,IF(AP842=[23]Listas!$F$64,[23]Listas!$G$64))))</f>
        <v>Requiere Plan de Acción</v>
      </c>
      <c r="AP842" s="570" t="str">
        <f>IF(AN842="","",IF(OR(AN842=[23]Listas!$E$61,AN842=[23]Listas!$E$62),[23]Listas!$F$61,IF(AN842=[23]Listas!$E$63,[23]Listas!$F$63,IF(AN842=[23]Listas!$E$64,[23]Listas!$F$64))))</f>
        <v>Aceptar o reducir el riesgo</v>
      </c>
      <c r="AQ842" s="358" t="s">
        <v>90</v>
      </c>
      <c r="AR842" s="267" t="s">
        <v>954</v>
      </c>
    </row>
    <row r="843" spans="2:44" ht="93.65" customHeight="1" thickTop="1" thickBot="1" x14ac:dyDescent="0.4">
      <c r="B843" s="537"/>
      <c r="C843" s="560"/>
      <c r="D843" s="610"/>
      <c r="E843" s="577"/>
      <c r="F843" s="646"/>
      <c r="G843" s="663"/>
      <c r="H843" s="666"/>
      <c r="I843" s="589"/>
      <c r="J843" s="589"/>
      <c r="K843" s="592"/>
      <c r="L843" s="589"/>
      <c r="M843" s="595"/>
      <c r="N843" s="598"/>
      <c r="O843" s="601"/>
      <c r="P843" s="595"/>
      <c r="Q843" s="604"/>
      <c r="R843" s="601"/>
      <c r="S843" s="286"/>
      <c r="T843" s="604"/>
      <c r="U843" s="142" t="s">
        <v>174</v>
      </c>
      <c r="V843" s="418" t="s">
        <v>955</v>
      </c>
      <c r="W843" s="319" t="s">
        <v>40</v>
      </c>
      <c r="X843" s="320">
        <f>IF(W843=[23]Listas!$B$46,[23]Listas!$C$46,IF(W843=[23]Listas!$B$47,[23]Listas!$C$47,IF(W843=[23]Listas!$B$48,[23]Listas!$C$48,"")))</f>
        <v>0.25</v>
      </c>
      <c r="Y843" s="321" t="str">
        <f>IF(OR(W843=[23]Listas!$F$53,W843=[23]Listas!$F$54),[23]Listas!$G$53,IF(W843=[23]Listas!$F$55,[23]Listas!$G$55,""))</f>
        <v>Probabilidad</v>
      </c>
      <c r="Z843" s="319" t="s">
        <v>43</v>
      </c>
      <c r="AA843" s="182">
        <f>+IF(Z843=[23]Listas!$E$46,[23]Listas!$F$46,IF(Z843=[23]Listas!$E$47,[23]Listas!$F$47,""))</f>
        <v>0.15</v>
      </c>
      <c r="AB843" s="183">
        <f>IFERROR(X843+AA843,"")</f>
        <v>0.4</v>
      </c>
      <c r="AC843" s="319" t="s">
        <v>57</v>
      </c>
      <c r="AD843" s="322" t="s">
        <v>58</v>
      </c>
      <c r="AE843" s="323" t="s">
        <v>59</v>
      </c>
      <c r="AF843" s="305" t="str">
        <f t="shared" si="117"/>
        <v>Baja</v>
      </c>
      <c r="AG843" s="145">
        <f>IF(Y843=[23]Listas!$G$53,AG842-(AG842*AB843),AG842)</f>
        <v>0.28799999999999998</v>
      </c>
      <c r="AH843" s="562"/>
      <c r="AI843" s="305" t="str">
        <f t="shared" si="124"/>
        <v>Moderado</v>
      </c>
      <c r="AJ843" s="145">
        <f>IF(Y843=[23]Listas!$G$55,AJ842-(AJ842*AB843),AJ842)</f>
        <v>0.6</v>
      </c>
      <c r="AK843" s="562"/>
      <c r="AL843" s="565"/>
      <c r="AM843" s="565"/>
      <c r="AN843" s="565"/>
      <c r="AO843" s="568"/>
      <c r="AP843" s="571"/>
      <c r="AQ843" s="345"/>
      <c r="AR843" s="191"/>
    </row>
    <row r="844" spans="2:44" ht="16" hidden="1" customHeight="1" thickBot="1" x14ac:dyDescent="0.4">
      <c r="B844" s="537"/>
      <c r="C844" s="560"/>
      <c r="D844" s="610"/>
      <c r="E844" s="577"/>
      <c r="F844" s="646"/>
      <c r="G844" s="663"/>
      <c r="H844" s="666"/>
      <c r="I844" s="589"/>
      <c r="J844" s="589"/>
      <c r="K844" s="592"/>
      <c r="L844" s="589"/>
      <c r="M844" s="595"/>
      <c r="N844" s="598"/>
      <c r="O844" s="601"/>
      <c r="P844" s="595"/>
      <c r="Q844" s="604"/>
      <c r="R844" s="601"/>
      <c r="S844" s="287"/>
      <c r="T844" s="604"/>
      <c r="U844" s="142" t="s">
        <v>180</v>
      </c>
      <c r="V844" s="418"/>
      <c r="W844" s="331"/>
      <c r="X844" s="320" t="str">
        <f>IF(W844=[23]Listas!$B$46,[23]Listas!$C$46,IF(W844=[23]Listas!$B$47,[23]Listas!$C$47,IF(W844=[23]Listas!$B$48,[23]Listas!$C$48,"")))</f>
        <v/>
      </c>
      <c r="Y844" s="321" t="str">
        <f>IF(OR(W844=[23]Listas!$F$53,W844=[23]Listas!$F$54),[23]Listas!$G$53,IF(W844=[23]Listas!$F$55,[23]Listas!$G$55,""))</f>
        <v/>
      </c>
      <c r="Z844" s="319"/>
      <c r="AA844" s="182" t="str">
        <f>+IF(Z844=[23]Listas!$E$46,[23]Listas!$F$46,IF(Z844=[23]Listas!$E$47,[23]Listas!$F$47,""))</f>
        <v/>
      </c>
      <c r="AB844" s="183" t="str">
        <f>IFERROR(X844+AA844,"")</f>
        <v/>
      </c>
      <c r="AC844" s="325"/>
      <c r="AD844" s="326"/>
      <c r="AE844" s="327"/>
      <c r="AF844" s="305" t="str">
        <f t="shared" ref="AF844:AF907" si="128">IF(AG844="","",IF(AG844&lt;=20%,"Muy baja",IF(AG844&lt;=40%,"Baja",IF(AG844&lt;=60%,"Media",IF(AG844&lt;=80%,"Alta","Muy alta")))))</f>
        <v>Baja</v>
      </c>
      <c r="AG844" s="145">
        <f>IF(Y844=[23]Listas!$G$53,AG843-(AG843*AB844),AG843)</f>
        <v>0.28799999999999998</v>
      </c>
      <c r="AH844" s="562"/>
      <c r="AI844" s="305" t="str">
        <f t="shared" si="124"/>
        <v>Moderado</v>
      </c>
      <c r="AJ844" s="145">
        <f>IF(Y844=[23]Listas!$G$55,AJ843-(AJ843*AB844),AJ843)</f>
        <v>0.6</v>
      </c>
      <c r="AK844" s="562"/>
      <c r="AL844" s="565"/>
      <c r="AM844" s="565"/>
      <c r="AN844" s="565"/>
      <c r="AO844" s="568"/>
      <c r="AP844" s="571"/>
      <c r="AQ844" s="345"/>
      <c r="AR844" s="191"/>
    </row>
    <row r="845" spans="2:44" ht="16" hidden="1" customHeight="1" thickTop="1" x14ac:dyDescent="0.35">
      <c r="B845" s="537"/>
      <c r="C845" s="560"/>
      <c r="D845" s="610"/>
      <c r="E845" s="577"/>
      <c r="F845" s="646"/>
      <c r="G845" s="663"/>
      <c r="H845" s="666"/>
      <c r="I845" s="589"/>
      <c r="J845" s="589"/>
      <c r="K845" s="592"/>
      <c r="L845" s="589"/>
      <c r="M845" s="595"/>
      <c r="N845" s="598"/>
      <c r="O845" s="601"/>
      <c r="P845" s="595"/>
      <c r="Q845" s="604"/>
      <c r="R845" s="601"/>
      <c r="S845" s="287"/>
      <c r="T845" s="604"/>
      <c r="U845" s="142" t="s">
        <v>190</v>
      </c>
      <c r="V845" s="418"/>
      <c r="W845" s="319"/>
      <c r="X845" s="320" t="str">
        <f>IF(W845=[23]Listas!$B$46,[23]Listas!$C$46,IF(W845=[23]Listas!$B$47,[23]Listas!$C$47,IF(W845=[23]Listas!$B$48,[23]Listas!$C$48,"")))</f>
        <v/>
      </c>
      <c r="Y845" s="321" t="str">
        <f>IF(OR(W845=[23]Listas!$F$53,W845=[23]Listas!$F$54),[23]Listas!$G$53,IF(W845=[23]Listas!$F$55,[23]Listas!$G$55,""))</f>
        <v/>
      </c>
      <c r="Z845" s="319"/>
      <c r="AA845" s="182" t="str">
        <f>+IF(Z845=[23]Listas!$E$46,[23]Listas!$F$46,IF(Z845=[23]Listas!$E$47,[23]Listas!$F$47,""))</f>
        <v/>
      </c>
      <c r="AB845" s="183" t="str">
        <f t="shared" ref="AB845:AB851" si="129">IFERROR(X845+AA845,"")</f>
        <v/>
      </c>
      <c r="AC845" s="328"/>
      <c r="AD845" s="329"/>
      <c r="AE845" s="330"/>
      <c r="AF845" s="305" t="str">
        <f t="shared" si="128"/>
        <v>Baja</v>
      </c>
      <c r="AG845" s="145">
        <f>IF(Y845=[23]Listas!$G$53,AG844-(AG844*AB845),AG844)</f>
        <v>0.28799999999999998</v>
      </c>
      <c r="AH845" s="562"/>
      <c r="AI845" s="305" t="str">
        <f t="shared" si="124"/>
        <v>Moderado</v>
      </c>
      <c r="AJ845" s="145">
        <f>IF(Y845=[23]Listas!$G$55,AJ844-(AJ844*AB845),AJ844)</f>
        <v>0.6</v>
      </c>
      <c r="AK845" s="562"/>
      <c r="AL845" s="565"/>
      <c r="AM845" s="565"/>
      <c r="AN845" s="565"/>
      <c r="AO845" s="568"/>
      <c r="AP845" s="571"/>
      <c r="AQ845" s="343"/>
      <c r="AR845" s="191"/>
    </row>
    <row r="846" spans="2:44" ht="16" hidden="1" customHeight="1" thickTop="1" x14ac:dyDescent="0.35">
      <c r="B846" s="537"/>
      <c r="C846" s="560"/>
      <c r="D846" s="610"/>
      <c r="E846" s="577"/>
      <c r="F846" s="646"/>
      <c r="G846" s="663"/>
      <c r="H846" s="666"/>
      <c r="I846" s="589"/>
      <c r="J846" s="589"/>
      <c r="K846" s="592"/>
      <c r="L846" s="589"/>
      <c r="M846" s="595"/>
      <c r="N846" s="598"/>
      <c r="O846" s="601"/>
      <c r="P846" s="595"/>
      <c r="Q846" s="604"/>
      <c r="R846" s="601"/>
      <c r="S846" s="287"/>
      <c r="T846" s="604"/>
      <c r="U846" s="142" t="s">
        <v>198</v>
      </c>
      <c r="V846" s="418"/>
      <c r="W846" s="331"/>
      <c r="X846" s="320" t="str">
        <f>IF(W846=[23]Listas!$B$46,[23]Listas!$C$46,IF(W846=[23]Listas!$B$47,[23]Listas!$C$47,IF(W846=[23]Listas!$B$48,[23]Listas!$C$48,"")))</f>
        <v/>
      </c>
      <c r="Y846" s="321" t="str">
        <f>IF(OR(W846=[23]Listas!$F$53,W846=[23]Listas!$F$54),[23]Listas!$G$53,IF(W846=[23]Listas!$F$55,[23]Listas!$G$55,""))</f>
        <v/>
      </c>
      <c r="Z846" s="331"/>
      <c r="AA846" s="182" t="str">
        <f>+IF(Z846=[23]Listas!$E$46,[23]Listas!$F$46,IF(Z846=[23]Listas!$E$47,[23]Listas!$F$47,""))</f>
        <v/>
      </c>
      <c r="AB846" s="183" t="str">
        <f t="shared" si="129"/>
        <v/>
      </c>
      <c r="AC846" s="319"/>
      <c r="AD846" s="322"/>
      <c r="AE846" s="323"/>
      <c r="AF846" s="305" t="str">
        <f t="shared" si="128"/>
        <v>Baja</v>
      </c>
      <c r="AG846" s="145">
        <f>IF(Y846=[23]Listas!$G$53,AG845-(AG845*AB846),AG845)</f>
        <v>0.28799999999999998</v>
      </c>
      <c r="AH846" s="562"/>
      <c r="AI846" s="305" t="str">
        <f t="shared" si="124"/>
        <v>Moderado</v>
      </c>
      <c r="AJ846" s="145">
        <f>IF(Y846=[23]Listas!$G$55,AJ845-(AJ845*AB846),AJ845)</f>
        <v>0.6</v>
      </c>
      <c r="AK846" s="562"/>
      <c r="AL846" s="565"/>
      <c r="AM846" s="565"/>
      <c r="AN846" s="565"/>
      <c r="AO846" s="568"/>
      <c r="AP846" s="571"/>
      <c r="AQ846" s="343"/>
      <c r="AR846" s="191"/>
    </row>
    <row r="847" spans="2:44" ht="16" hidden="1" customHeight="1" thickTop="1" x14ac:dyDescent="0.35">
      <c r="B847" s="537"/>
      <c r="C847" s="560"/>
      <c r="D847" s="610"/>
      <c r="E847" s="577"/>
      <c r="F847" s="646"/>
      <c r="G847" s="663"/>
      <c r="H847" s="666"/>
      <c r="I847" s="589"/>
      <c r="J847" s="589"/>
      <c r="K847" s="592"/>
      <c r="L847" s="589"/>
      <c r="M847" s="595"/>
      <c r="N847" s="598"/>
      <c r="O847" s="601"/>
      <c r="P847" s="595"/>
      <c r="Q847" s="604"/>
      <c r="R847" s="601"/>
      <c r="S847" s="288"/>
      <c r="T847" s="604"/>
      <c r="U847" s="142" t="s">
        <v>208</v>
      </c>
      <c r="V847" s="418"/>
      <c r="W847" s="331"/>
      <c r="X847" s="320" t="str">
        <f>IF(W847=[23]Listas!$B$46,[23]Listas!$C$46,IF(W847=[23]Listas!$B$47,[23]Listas!$C$47,IF(W847=[23]Listas!$B$48,[23]Listas!$C$48,"")))</f>
        <v/>
      </c>
      <c r="Y847" s="321" t="str">
        <f>IF(OR(W847=[23]Listas!$F$53,W847=[23]Listas!$F$54),[23]Listas!$G$53,IF(W847=[23]Listas!$F$55,[23]Listas!$G$55,""))</f>
        <v/>
      </c>
      <c r="Z847" s="331"/>
      <c r="AA847" s="182" t="str">
        <f>+IF(Z847=[23]Listas!$E$46,[23]Listas!$F$46,IF(Z847=[23]Listas!$E$47,[23]Listas!$F$47,""))</f>
        <v/>
      </c>
      <c r="AB847" s="183" t="str">
        <f t="shared" si="129"/>
        <v/>
      </c>
      <c r="AC847" s="319"/>
      <c r="AD847" s="322"/>
      <c r="AE847" s="323"/>
      <c r="AF847" s="305" t="str">
        <f t="shared" si="128"/>
        <v>Baja</v>
      </c>
      <c r="AG847" s="145">
        <f>IF(Y847=[23]Listas!$G$53,AG846-(AG846*AB847),AG846)</f>
        <v>0.28799999999999998</v>
      </c>
      <c r="AH847" s="562"/>
      <c r="AI847" s="305" t="str">
        <f t="shared" si="124"/>
        <v>Moderado</v>
      </c>
      <c r="AJ847" s="145">
        <f>IF(Y847=[23]Listas!$G$55,AJ846-(AJ846*AB847),AJ846)</f>
        <v>0.6</v>
      </c>
      <c r="AK847" s="562"/>
      <c r="AL847" s="565"/>
      <c r="AM847" s="565"/>
      <c r="AN847" s="565"/>
      <c r="AO847" s="568"/>
      <c r="AP847" s="571"/>
      <c r="AQ847" s="343"/>
      <c r="AR847" s="191"/>
    </row>
    <row r="848" spans="2:44" ht="16" hidden="1" customHeight="1" thickTop="1" x14ac:dyDescent="0.35">
      <c r="B848" s="537"/>
      <c r="C848" s="560"/>
      <c r="D848" s="610"/>
      <c r="E848" s="577"/>
      <c r="F848" s="646"/>
      <c r="G848" s="663"/>
      <c r="H848" s="666"/>
      <c r="I848" s="589"/>
      <c r="J848" s="589"/>
      <c r="K848" s="592"/>
      <c r="L848" s="589"/>
      <c r="M848" s="595"/>
      <c r="N848" s="598"/>
      <c r="O848" s="601"/>
      <c r="P848" s="595"/>
      <c r="Q848" s="604"/>
      <c r="R848" s="601"/>
      <c r="S848" s="289"/>
      <c r="T848" s="604"/>
      <c r="U848" s="142" t="s">
        <v>215</v>
      </c>
      <c r="V848" s="418"/>
      <c r="W848" s="331"/>
      <c r="X848" s="320" t="str">
        <f>IF(W848=[23]Listas!$B$46,[23]Listas!$C$46,IF(W848=[23]Listas!$B$47,[23]Listas!$C$47,IF(W848=[23]Listas!$B$48,[23]Listas!$C$48,"")))</f>
        <v/>
      </c>
      <c r="Y848" s="321" t="str">
        <f>IF(OR(W848=[23]Listas!$F$53,W848=[23]Listas!$F$54),[23]Listas!$G$53,IF(W848=[23]Listas!$F$55,[23]Listas!$G$55,""))</f>
        <v/>
      </c>
      <c r="Z848" s="331"/>
      <c r="AA848" s="182" t="str">
        <f>+IF(Z848=[23]Listas!$E$46,[23]Listas!$F$46,IF(Z848=[23]Listas!$E$47,[23]Listas!$F$47,""))</f>
        <v/>
      </c>
      <c r="AB848" s="183" t="str">
        <f t="shared" si="129"/>
        <v/>
      </c>
      <c r="AC848" s="319"/>
      <c r="AD848" s="322"/>
      <c r="AE848" s="323"/>
      <c r="AF848" s="305" t="str">
        <f t="shared" si="128"/>
        <v>Baja</v>
      </c>
      <c r="AG848" s="145">
        <f>IF(Y848=[23]Listas!$G$53,AG847-(AG847*AB848),AG847)</f>
        <v>0.28799999999999998</v>
      </c>
      <c r="AH848" s="562"/>
      <c r="AI848" s="305" t="str">
        <f t="shared" si="124"/>
        <v>Moderado</v>
      </c>
      <c r="AJ848" s="145">
        <f>IF(Y848=[23]Listas!$G$55,AJ847-(AJ847*AB848),AJ847)</f>
        <v>0.6</v>
      </c>
      <c r="AK848" s="562"/>
      <c r="AL848" s="565"/>
      <c r="AM848" s="565"/>
      <c r="AN848" s="565"/>
      <c r="AO848" s="568"/>
      <c r="AP848" s="571"/>
      <c r="AQ848" s="344"/>
      <c r="AR848" s="191"/>
    </row>
    <row r="849" spans="2:44" ht="16" hidden="1" customHeight="1" thickTop="1" x14ac:dyDescent="0.35">
      <c r="B849" s="537"/>
      <c r="C849" s="560"/>
      <c r="D849" s="610"/>
      <c r="E849" s="577"/>
      <c r="F849" s="646"/>
      <c r="G849" s="663"/>
      <c r="H849" s="666"/>
      <c r="I849" s="589"/>
      <c r="J849" s="589"/>
      <c r="K849" s="592"/>
      <c r="L849" s="589"/>
      <c r="M849" s="595"/>
      <c r="N849" s="598"/>
      <c r="O849" s="601"/>
      <c r="P849" s="595"/>
      <c r="Q849" s="604"/>
      <c r="R849" s="601"/>
      <c r="S849" s="289"/>
      <c r="T849" s="604"/>
      <c r="U849" s="142" t="s">
        <v>220</v>
      </c>
      <c r="V849" s="418"/>
      <c r="W849" s="331"/>
      <c r="X849" s="320" t="str">
        <f>IF(W849=[23]Listas!$B$46,[23]Listas!$C$46,IF(W849=[23]Listas!$B$47,[23]Listas!$C$47,IF(W849=[23]Listas!$B$48,[23]Listas!$C$48,"")))</f>
        <v/>
      </c>
      <c r="Y849" s="321" t="str">
        <f>IF(OR(W849=[23]Listas!$F$53,W849=[23]Listas!$F$54),[23]Listas!$G$53,IF(W849=[23]Listas!$F$55,[23]Listas!$G$55,""))</f>
        <v/>
      </c>
      <c r="Z849" s="331"/>
      <c r="AA849" s="182" t="str">
        <f>+IF(Z849=[23]Listas!$E$46,[23]Listas!$F$46,IF(Z849=[23]Listas!$E$47,[23]Listas!$F$47,""))</f>
        <v/>
      </c>
      <c r="AB849" s="183" t="str">
        <f t="shared" si="129"/>
        <v/>
      </c>
      <c r="AC849" s="319"/>
      <c r="AD849" s="322"/>
      <c r="AE849" s="323"/>
      <c r="AF849" s="305" t="str">
        <f t="shared" si="128"/>
        <v>Baja</v>
      </c>
      <c r="AG849" s="145">
        <f>IF(Y849=[23]Listas!$G$53,AG848-(AG848*AB849),AG848)</f>
        <v>0.28799999999999998</v>
      </c>
      <c r="AH849" s="562"/>
      <c r="AI849" s="305" t="str">
        <f t="shared" si="124"/>
        <v>Moderado</v>
      </c>
      <c r="AJ849" s="145">
        <f>IF(Y849=[23]Listas!$G$55,AJ848-(AJ848*AB849),AJ848)</f>
        <v>0.6</v>
      </c>
      <c r="AK849" s="562"/>
      <c r="AL849" s="565"/>
      <c r="AM849" s="565"/>
      <c r="AN849" s="565"/>
      <c r="AO849" s="568"/>
      <c r="AP849" s="571"/>
      <c r="AQ849" s="345"/>
      <c r="AR849" s="191"/>
    </row>
    <row r="850" spans="2:44" ht="16" hidden="1" customHeight="1" thickTop="1" x14ac:dyDescent="0.35">
      <c r="B850" s="537"/>
      <c r="C850" s="560"/>
      <c r="D850" s="610"/>
      <c r="E850" s="577"/>
      <c r="F850" s="646"/>
      <c r="G850" s="663"/>
      <c r="H850" s="666"/>
      <c r="I850" s="589"/>
      <c r="J850" s="589"/>
      <c r="K850" s="592"/>
      <c r="L850" s="589"/>
      <c r="M850" s="595"/>
      <c r="N850" s="598"/>
      <c r="O850" s="601"/>
      <c r="P850" s="595"/>
      <c r="Q850" s="604"/>
      <c r="R850" s="601"/>
      <c r="S850" s="289"/>
      <c r="T850" s="604"/>
      <c r="U850" s="142" t="s">
        <v>223</v>
      </c>
      <c r="V850" s="418"/>
      <c r="W850" s="331"/>
      <c r="X850" s="320" t="str">
        <f>IF(W850=[23]Listas!$B$46,[23]Listas!$C$46,IF(W850=[23]Listas!$B$47,[23]Listas!$C$47,IF(W850=[23]Listas!$B$48,[23]Listas!$C$48,"")))</f>
        <v/>
      </c>
      <c r="Y850" s="321" t="str">
        <f>IF(OR(W850=[23]Listas!$F$53,W850=[23]Listas!$F$54),[23]Listas!$G$53,IF(W850=[23]Listas!$F$55,[23]Listas!$G$55,""))</f>
        <v/>
      </c>
      <c r="Z850" s="331"/>
      <c r="AA850" s="182" t="str">
        <f>+IF(Z850=[23]Listas!$E$46,[23]Listas!$F$46,IF(Z850=[23]Listas!$E$47,[23]Listas!$F$47,""))</f>
        <v/>
      </c>
      <c r="AB850" s="183" t="str">
        <f t="shared" si="129"/>
        <v/>
      </c>
      <c r="AC850" s="319"/>
      <c r="AD850" s="322"/>
      <c r="AE850" s="323"/>
      <c r="AF850" s="305" t="str">
        <f t="shared" si="128"/>
        <v>Baja</v>
      </c>
      <c r="AG850" s="145">
        <f>IF(Y850=[23]Listas!$G$53,AG849-(AG849*AB850),AG849)</f>
        <v>0.28799999999999998</v>
      </c>
      <c r="AH850" s="562"/>
      <c r="AI850" s="305" t="str">
        <f t="shared" si="124"/>
        <v>Moderado</v>
      </c>
      <c r="AJ850" s="145">
        <f>IF(Y850=[23]Listas!$G$55,AJ849-(AJ849*AB850),AJ849)</f>
        <v>0.6</v>
      </c>
      <c r="AK850" s="562"/>
      <c r="AL850" s="565"/>
      <c r="AM850" s="565"/>
      <c r="AN850" s="565"/>
      <c r="AO850" s="568"/>
      <c r="AP850" s="571"/>
      <c r="AQ850" s="345"/>
      <c r="AR850" s="191"/>
    </row>
    <row r="851" spans="2:44" ht="16" hidden="1" customHeight="1" thickTop="1" x14ac:dyDescent="0.35">
      <c r="B851" s="537"/>
      <c r="C851" s="560"/>
      <c r="D851" s="611"/>
      <c r="E851" s="578"/>
      <c r="F851" s="647"/>
      <c r="G851" s="664"/>
      <c r="H851" s="667"/>
      <c r="I851" s="590"/>
      <c r="J851" s="590"/>
      <c r="K851" s="593"/>
      <c r="L851" s="590"/>
      <c r="M851" s="596"/>
      <c r="N851" s="599"/>
      <c r="O851" s="602"/>
      <c r="P851" s="596"/>
      <c r="Q851" s="605"/>
      <c r="R851" s="602"/>
      <c r="S851" s="293"/>
      <c r="T851" s="605"/>
      <c r="U851" s="202" t="s">
        <v>224</v>
      </c>
      <c r="V851" s="416"/>
      <c r="W851" s="335"/>
      <c r="X851" s="336" t="str">
        <f>IF(W851=[23]Listas!$B$46,[23]Listas!$C$46,IF(W851=[23]Listas!$B$47,[23]Listas!$C$47,IF(W851=[23]Listas!$B$48,[23]Listas!$C$48,"")))</f>
        <v/>
      </c>
      <c r="Y851" s="337" t="str">
        <f>IF(OR(W851=[23]Listas!$F$53,W851=[23]Listas!$F$54),[23]Listas!$G$53,IF(W851=[23]Listas!$F$55,[23]Listas!$G$55,""))</f>
        <v/>
      </c>
      <c r="Z851" s="335"/>
      <c r="AA851" s="186" t="str">
        <f>+IF(Z851=[23]Listas!$E$46,[23]Listas!$F$46,IF(Z851=[23]Listas!$E$47,[23]Listas!$F$47,""))</f>
        <v/>
      </c>
      <c r="AB851" s="187" t="str">
        <f t="shared" si="129"/>
        <v/>
      </c>
      <c r="AC851" s="338"/>
      <c r="AD851" s="339"/>
      <c r="AE851" s="340"/>
      <c r="AF851" s="311" t="str">
        <f t="shared" si="128"/>
        <v>Baja</v>
      </c>
      <c r="AG851" s="179">
        <f>IF(Y851=[23]Listas!$G$53,AG850-(AG850*AB851),AG850)</f>
        <v>0.28799999999999998</v>
      </c>
      <c r="AH851" s="563"/>
      <c r="AI851" s="311" t="str">
        <f t="shared" si="124"/>
        <v>Moderado</v>
      </c>
      <c r="AJ851" s="179">
        <f>IF(Y851=[23]Listas!$G$55,AJ850-(AJ850*AB851),AJ850)</f>
        <v>0.6</v>
      </c>
      <c r="AK851" s="563"/>
      <c r="AL851" s="566"/>
      <c r="AM851" s="566"/>
      <c r="AN851" s="566"/>
      <c r="AO851" s="569"/>
      <c r="AP851" s="572"/>
      <c r="AQ851" s="346"/>
      <c r="AR851" s="192"/>
    </row>
    <row r="852" spans="2:44" ht="130.5" customHeight="1" thickTop="1" thickBot="1" x14ac:dyDescent="0.4">
      <c r="B852" s="537"/>
      <c r="C852" s="560"/>
      <c r="D852" s="609" t="s">
        <v>956</v>
      </c>
      <c r="E852" s="576" t="s">
        <v>3</v>
      </c>
      <c r="F852" s="645" t="s">
        <v>957</v>
      </c>
      <c r="G852" s="662" t="s">
        <v>958</v>
      </c>
      <c r="H852" s="665" t="s">
        <v>959</v>
      </c>
      <c r="I852" s="588" t="s">
        <v>20</v>
      </c>
      <c r="J852" s="588" t="s">
        <v>22</v>
      </c>
      <c r="K852" s="591"/>
      <c r="L852" s="588" t="s">
        <v>185</v>
      </c>
      <c r="M852" s="594" t="s">
        <v>214</v>
      </c>
      <c r="N852" s="597" t="str">
        <f>+IF(M852="","",IF(M852=$BO$15,$BN$15,IF(M852=$BO$16,$BN$16,IF(M852=$BO$17,$BN$17,IF(M852=$BO$18,$BN$18,IF(M852=$BO$19,$BN$19))))))</f>
        <v>Media</v>
      </c>
      <c r="O852" s="600">
        <f>+IF(M852="","",IF(M852=$BO$15,$BR$15,IF(M852=$BO$16,$BR$16,IF(M852=$BO$17,$BR$17,IF(M852=$BO$18,$BR$18,IF(M852=$BO$19,$BR$19))))))</f>
        <v>0.6</v>
      </c>
      <c r="P852" s="594" t="s">
        <v>218</v>
      </c>
      <c r="Q852" s="603" t="str">
        <f>+IF(P852="","",IF(P852='[23]Mapa de Calor inherente'!$AF$6,'[23]Mapa de Calor inherente'!$AD$6,IF(P852='[23]Mapa de Calor inherente'!$AF$7,'[23]Mapa de Calor inherente'!$AD$7,IF(P852='[23]Mapa de Calor inherente'!$AF$8,'[23]Mapa de Calor inherente'!$AD$8,IF(P852='[23]Mapa de Calor inherente'!$AF$9,'[23]Mapa de Calor inherente'!$AD$9,IF(P852='[23]Mapa de Calor inherente'!$AF$10,'[23]Mapa de Calor inherente'!$AD$10,IF(P852='[23]Mapa de Calor inherente'!$AG$6,'[23]Mapa de Calor inherente'!$AD$6,IF(P852='[23]Mapa de Calor inherente'!$AG$7,'[23]Mapa de Calor inherente'!$AD$7,IF(P852='[23]Mapa de Calor inherente'!$AG$8,'[23]Mapa de Calor inherente'!$AD$8,IF(P852='[23]Mapa de Calor inherente'!$AG$9,'[23]Mapa de Calor inherente'!$AD$9,IF(P852='[23]Mapa de Calor inherente'!$AG$10,'[23]Mapa de Calor inherente'!$AD$10,IF(P852='[23]Mapa de Calor inherente'!$AD$8,'[23]Mapa de Calor inherente'!$AD$8,IF(P852='[23]Mapa de Calor inherente'!$AD$9,'[23]Mapa de Calor inherente'!$AD$9,IF(P852='[23]Mapa de Calor inherente'!$AD$10,'[23]Mapa de Calor inherente'!$AD$10))))))))))))))</f>
        <v>Mayor</v>
      </c>
      <c r="R852" s="600">
        <f>+IF(P852="","",IF(P852='[23]Mapa de Calor inherente'!$AF$6,'[23]Mapa de Calor inherente'!$AE$6,IF(P852='[23]Mapa de Calor inherente'!$AF$7,'[23]Mapa de Calor inherente'!$AE$7,IF(P852='[23]Mapa de Calor inherente'!$AF$8,'[23]Mapa de Calor inherente'!$AE$8,IF(P852='[23]Mapa de Calor inherente'!$AF$9,'[23]Mapa de Calor inherente'!$AE$9,IF(P852='[23]Mapa de Calor inherente'!$AF$10,'[23]Mapa de Calor inherente'!$AE$10,IF(P852='[23]Mapa de Calor inherente'!$AG$6,'[23]Mapa de Calor inherente'!$AE$6,IF(P852='[23]Mapa de Calor inherente'!$AG$7,'[23]Mapa de Calor inherente'!$AE$7,IF(P852='[23]Mapa de Calor inherente'!$AG$8,'[23]Mapa de Calor inherente'!$AE$8,IF(P852='[23]Mapa de Calor inherente'!$AG$9,'[23]Mapa de Calor inherente'!$AE$9,IF(P852='[23]Mapa de Calor inherente'!$AG$10,'[23]Mapa de Calor inherente'!$AE$10,IF(P852='[23]Mapa de Calor inherente'!$AD$8,'[23]Mapa de Calor inherente'!$AE$8,IF(P852='[23]Mapa de Calor inherente'!$AD$9,'[23]Mapa de Calor inherente'!$AE$9,IF(P852='[23]Mapa de Calor inherente'!$AD$10,'[23]Mapa de Calor inherente'!$AE$10))))))))))))))</f>
        <v>0.8</v>
      </c>
      <c r="S852" s="292" t="e">
        <f>IF(N852="","",IF(R852="","",(N852*R852)))</f>
        <v>#VALUE!</v>
      </c>
      <c r="T852" s="603" t="str">
        <f>+IF(N852=$BB$17,IF(Q852=$BC$16,$BC$17,IF(Q852=$BD$16,$BD$17,IF(Q852=$BE$16,$BE$17,IF(Q852=$BF$16,$BF$17,IF(Q852=$BG$16,$BG$17))))),IF(N852=$BB$18,IF(Q852=$BC$16,$BC$18,IF(Q852=$BD$16,$BD$18,IF(Q852=$BE$16,$BE$18,IF(Q852=$BF$16,$BF$18,IF(Q852=$BG$16,$BG$18))))),IF(N852=$BB$19,IF(Q852=$BC$16,$BC$19,IF(Q852=$BD$16,$BD$19,IF(Q852=$BE$16,$BE$19,IF(Q852=$BF$16,$BF$19,IF(Q852=$BG$16,$BG$19))))),IF(N852=$BB$20,IF(Q852=$BC$16,$BC$20,IF(Q852=$BD$16,$BD$20,IF(Q852=$BE$16,$BE$20,IF(Q852=$BF$16,$BF$20,IF(Q852=$BG$16,$BG$20))))),IF(N852=$BB$21,IF(Q852=$BC$16,$BC$21,IF(Q852=$BD$16,$BD$21,IF(Q852=$BE$16,$BE$21,IF(Q852=$BF$16,$BF$21,IF(Q852=$BG$16,$BG$21))))),"")))))</f>
        <v>Alto</v>
      </c>
      <c r="U852" s="139" t="s">
        <v>171</v>
      </c>
      <c r="V852" s="455" t="s">
        <v>960</v>
      </c>
      <c r="W852" s="313" t="s">
        <v>40</v>
      </c>
      <c r="X852" s="314">
        <f>IF(W852=[23]Listas!$B$46,[23]Listas!$C$46,IF(W852=[23]Listas!$B$47,[23]Listas!$C$47,IF(W852=[23]Listas!$B$48,[23]Listas!$C$48,"")))</f>
        <v>0.25</v>
      </c>
      <c r="Y852" s="315" t="str">
        <f>IF(OR(W852=[23]Listas!$F$53,W852=[23]Listas!$F$54),[23]Listas!$G$53,IF(W852=[23]Listas!$F$55,[23]Listas!$G$55,""))</f>
        <v>Probabilidad</v>
      </c>
      <c r="Z852" s="313" t="s">
        <v>43</v>
      </c>
      <c r="AA852" s="314">
        <f>+IF(Z852=[23]Listas!$E$46,[23]Listas!$F$46,IF(Z852=[23]Listas!$E$47,[23]Listas!$F$47,""))</f>
        <v>0.15</v>
      </c>
      <c r="AB852" s="181">
        <f>IFERROR(X852+AA852,"")</f>
        <v>0.4</v>
      </c>
      <c r="AC852" s="313" t="s">
        <v>57</v>
      </c>
      <c r="AD852" s="316" t="s">
        <v>58</v>
      </c>
      <c r="AE852" s="317" t="s">
        <v>59</v>
      </c>
      <c r="AF852" s="299" t="str">
        <f t="shared" si="128"/>
        <v>Baja</v>
      </c>
      <c r="AG852" s="141">
        <f>IF(Y852=[23]Listas!$G$53,O852-(O852*AB852),O852)</f>
        <v>0.36</v>
      </c>
      <c r="AH852" s="561">
        <f>+IF(AG861="","",AG861)</f>
        <v>0.108</v>
      </c>
      <c r="AI852" s="299" t="str">
        <f>IF(AJ852="","",IF(AJ852&lt;=20%,"Leve",IF(AJ852&lt;=40%,"Menor",IF(AJ852&lt;=60%,"Moderado",IF(AJ852&lt;=80%,"Mayor","Catastrófico")))))</f>
        <v>Mayor</v>
      </c>
      <c r="AJ852" s="141">
        <f>IF(Y852=[23]Listas!$G$55,R852-(R852*AB852),R852)</f>
        <v>0.8</v>
      </c>
      <c r="AK852" s="561">
        <f>+IF(AJ861="","",AJ861)</f>
        <v>0.8</v>
      </c>
      <c r="AL852" s="564" t="str">
        <f>+IF(AH852=0,"",IF(AH852&lt;=$BA$21,$BB$21,IF(AH852&lt;=$BA$20,$BB$20,IF(AH852&lt;=$BA$19,$BB$19,IF(AH852&lt;=$BA$18,$BB$18,IF(AH852&lt;=$BA$17,$BB$17,""))))))</f>
        <v>Muy Baja</v>
      </c>
      <c r="AM852" s="564" t="str">
        <f>+IF(AK852=0,"",IF(AK852&lt;=$BC$15,$BC$16,IF(AK852&lt;=$BD$15,$BD$16,IF(AK852&lt;=$BE$15,$BE$16,IF(AK852&lt;=$BF$15,$BF$16,IF(AK852&lt;=$BG$15,$BG$16,""))))))</f>
        <v>Mayor</v>
      </c>
      <c r="AN852" s="564" t="str">
        <f>IF(AL852=$BB$17,IF(AM852=$BC$16,$BC$17,IF(AM852=$BD$16,$BD$17,IF(AM852=$BE$16,$BE$17,IF(AM852=$BF$16,$BF$17,IF(AM852=$BG$16,$BG$17))))),IF(AL852=$BB$18,IF(AM852=$BC$16,$BC$18,IF(AM852=$BD$16,$BD$18,IF(AM852=$BE$16,$BE$18,IF(AM852=$BF$16,$BF$18,IF(AM852=$BG$16,$BG$18))))),IF(AL852=$BB$19,IF(AM852=$BC$16,$BC$19,IF(AM852=$BD$16,$BD$19,IF(AM852=$BE$16,$BE$19,IF(AM852=$BF$16,$BF$19,IF(AM852=$BG$16,$BG$19))))),IF(AL852=$BB$20,IF(AM852=$BC$16,$BC$20,IF(AM852=$BD$16,$BD$20,IF(AM852=$BE$16,$BE$20,IF(AM852=$BF$16,$BF$20,IF(AM852=$BG$16,$BG$20))))),IF(AL852=$BB$21,IF(AM852=$BC$16,$BC$21,IF(AM852=$BD$16,$BD$21,IF(AM852=$BE$16,$BE$21,IF(AM852=$BF$16,$BF$21,IF(AM852=$BG$16,$BG$21))))),"")))))</f>
        <v>Alto</v>
      </c>
      <c r="AO852" s="567" t="str">
        <f>IF(AP852="","",IF(AP852=[23]Listas!$F$61,[23]Listas!$G$61,IF(AP852=[23]Listas!$F$63,[23]Listas!$G$63,IF(AP852=[23]Listas!$F$64,[23]Listas!$G$64))))</f>
        <v>Requiere Plan de Acción</v>
      </c>
      <c r="AP852" s="570" t="str">
        <f>IF(AN852="","",IF(OR(AN852=[23]Listas!$E$61,AN852=[23]Listas!$E$62),[23]Listas!$F$61,IF(AN852=[23]Listas!$E$63,[23]Listas!$F$63,IF(AN852=[23]Listas!$E$64,[23]Listas!$F$64))))</f>
        <v>Reducir, evitar, compartir o transferir el riesgo</v>
      </c>
      <c r="AQ852" s="358" t="s">
        <v>80</v>
      </c>
      <c r="AR852" s="268" t="s">
        <v>961</v>
      </c>
    </row>
    <row r="853" spans="2:44" ht="121" customHeight="1" thickTop="1" thickBot="1" x14ac:dyDescent="0.4">
      <c r="B853" s="537"/>
      <c r="C853" s="560"/>
      <c r="D853" s="610"/>
      <c r="E853" s="577"/>
      <c r="F853" s="646"/>
      <c r="G853" s="663"/>
      <c r="H853" s="666"/>
      <c r="I853" s="589"/>
      <c r="J853" s="589"/>
      <c r="K853" s="592"/>
      <c r="L853" s="589"/>
      <c r="M853" s="595"/>
      <c r="N853" s="598"/>
      <c r="O853" s="601"/>
      <c r="P853" s="595"/>
      <c r="Q853" s="604"/>
      <c r="R853" s="601"/>
      <c r="S853" s="286"/>
      <c r="T853" s="604"/>
      <c r="U853" s="142" t="s">
        <v>174</v>
      </c>
      <c r="V853" s="418" t="s">
        <v>962</v>
      </c>
      <c r="W853" s="319" t="s">
        <v>40</v>
      </c>
      <c r="X853" s="320">
        <f>IF(W853=[23]Listas!$B$46,[23]Listas!$C$46,IF(W853=[23]Listas!$B$47,[23]Listas!$C$47,IF(W853=[23]Listas!$B$48,[23]Listas!$C$48,"")))</f>
        <v>0.25</v>
      </c>
      <c r="Y853" s="321" t="str">
        <f>IF(OR(W853=[23]Listas!$F$53,W853=[23]Listas!$F$54),[23]Listas!$G$53,IF(W853=[23]Listas!$F$55,[23]Listas!$G$55,""))</f>
        <v>Probabilidad</v>
      </c>
      <c r="Z853" s="319" t="s">
        <v>43</v>
      </c>
      <c r="AA853" s="182">
        <f>+IF(Z853=[23]Listas!$E$46,[23]Listas!$F$46,IF(Z853=[23]Listas!$E$47,[23]Listas!$F$47,""))</f>
        <v>0.15</v>
      </c>
      <c r="AB853" s="183">
        <f>IFERROR(X853+AA853,"")</f>
        <v>0.4</v>
      </c>
      <c r="AC853" s="319" t="s">
        <v>57</v>
      </c>
      <c r="AD853" s="322" t="s">
        <v>58</v>
      </c>
      <c r="AE853" s="323" t="s">
        <v>59</v>
      </c>
      <c r="AF853" s="305" t="str">
        <f t="shared" si="128"/>
        <v>Baja</v>
      </c>
      <c r="AG853" s="145">
        <f>IF(Y853=[23]Listas!$G$53,AG852-(AG852*AB853),AG852)</f>
        <v>0.216</v>
      </c>
      <c r="AH853" s="562"/>
      <c r="AI853" s="305" t="str">
        <f t="shared" ref="AI853:AI861" si="130">IF(AJ853="","",IF(AJ853&lt;=20%,"Leve",IF(AJ853&lt;=40%,"Menor",IF(AJ853&lt;=60%,"Moderado",IF(AJ853&lt;=80%,"Mayor","Catastrófico")))))</f>
        <v>Mayor</v>
      </c>
      <c r="AJ853" s="145">
        <f>IF(Y853=[23]Listas!$G$55,AJ852-(AJ852*AB853),AJ852)</f>
        <v>0.8</v>
      </c>
      <c r="AK853" s="562"/>
      <c r="AL853" s="565"/>
      <c r="AM853" s="565"/>
      <c r="AN853" s="565"/>
      <c r="AO853" s="568"/>
      <c r="AP853" s="571"/>
      <c r="AQ853" s="343" t="s">
        <v>90</v>
      </c>
      <c r="AR853" s="257" t="s">
        <v>963</v>
      </c>
    </row>
    <row r="854" spans="2:44" ht="75" customHeight="1" thickTop="1" thickBot="1" x14ac:dyDescent="0.4">
      <c r="B854" s="537"/>
      <c r="C854" s="560"/>
      <c r="D854" s="610"/>
      <c r="E854" s="577"/>
      <c r="F854" s="646"/>
      <c r="G854" s="663"/>
      <c r="H854" s="666"/>
      <c r="I854" s="589"/>
      <c r="J854" s="589"/>
      <c r="K854" s="592"/>
      <c r="L854" s="589"/>
      <c r="M854" s="595"/>
      <c r="N854" s="598"/>
      <c r="O854" s="601"/>
      <c r="P854" s="595"/>
      <c r="Q854" s="604"/>
      <c r="R854" s="601"/>
      <c r="S854" s="287"/>
      <c r="T854" s="604"/>
      <c r="U854" s="142" t="s">
        <v>180</v>
      </c>
      <c r="V854" s="418" t="s">
        <v>964</v>
      </c>
      <c r="W854" s="331" t="s">
        <v>40</v>
      </c>
      <c r="X854" s="320">
        <f>IF(W854=[23]Listas!$B$46,[23]Listas!$C$46,IF(W854=[23]Listas!$B$47,[23]Listas!$C$47,IF(W854=[23]Listas!$B$48,[23]Listas!$C$48,"")))</f>
        <v>0.25</v>
      </c>
      <c r="Y854" s="321" t="str">
        <f>IF(OR(W854=[23]Listas!$F$53,W854=[23]Listas!$F$54),[23]Listas!$G$53,IF(W854=[23]Listas!$F$55,[23]Listas!$G$55,""))</f>
        <v>Probabilidad</v>
      </c>
      <c r="Z854" s="319" t="s">
        <v>41</v>
      </c>
      <c r="AA854" s="182">
        <f>+IF(Z854=[23]Listas!$E$46,[23]Listas!$F$46,IF(Z854=[23]Listas!$E$47,[23]Listas!$F$47,""))</f>
        <v>0.25</v>
      </c>
      <c r="AB854" s="183">
        <f>IFERROR(X854+AA854,"")</f>
        <v>0.5</v>
      </c>
      <c r="AC854" s="319" t="s">
        <v>57</v>
      </c>
      <c r="AD854" s="322" t="s">
        <v>58</v>
      </c>
      <c r="AE854" s="323" t="s">
        <v>59</v>
      </c>
      <c r="AF854" s="305" t="str">
        <f t="shared" si="128"/>
        <v>Muy baja</v>
      </c>
      <c r="AG854" s="145">
        <f>IF(Y854=[23]Listas!$G$53,AG853-(AG853*AB854),AG853)</f>
        <v>0.108</v>
      </c>
      <c r="AH854" s="562"/>
      <c r="AI854" s="305" t="str">
        <f t="shared" si="130"/>
        <v>Mayor</v>
      </c>
      <c r="AJ854" s="145">
        <f>IF(Y854=[23]Listas!$G$55,AJ853-(AJ853*AB854),AJ853)</f>
        <v>0.8</v>
      </c>
      <c r="AK854" s="562"/>
      <c r="AL854" s="565"/>
      <c r="AM854" s="565"/>
      <c r="AN854" s="565"/>
      <c r="AO854" s="568"/>
      <c r="AP854" s="571"/>
      <c r="AQ854" s="343"/>
      <c r="AR854" s="191"/>
    </row>
    <row r="855" spans="2:44" ht="15.75" hidden="1" customHeight="1" thickBot="1" x14ac:dyDescent="0.4">
      <c r="B855" s="537"/>
      <c r="C855" s="560"/>
      <c r="D855" s="610"/>
      <c r="E855" s="577"/>
      <c r="F855" s="646"/>
      <c r="G855" s="663"/>
      <c r="H855" s="666"/>
      <c r="I855" s="589"/>
      <c r="J855" s="589"/>
      <c r="K855" s="592"/>
      <c r="L855" s="589"/>
      <c r="M855" s="595"/>
      <c r="N855" s="598"/>
      <c r="O855" s="601"/>
      <c r="P855" s="595"/>
      <c r="Q855" s="604"/>
      <c r="R855" s="601"/>
      <c r="S855" s="287"/>
      <c r="T855" s="604"/>
      <c r="U855" s="142" t="s">
        <v>190</v>
      </c>
      <c r="V855" s="418"/>
      <c r="W855" s="319"/>
      <c r="X855" s="320" t="str">
        <f>IF(W855=[23]Listas!$B$46,[23]Listas!$C$46,IF(W855=[23]Listas!$B$47,[23]Listas!$C$47,IF(W855=[23]Listas!$B$48,[23]Listas!$C$48,"")))</f>
        <v/>
      </c>
      <c r="Y855" s="321" t="str">
        <f>IF(OR(W855=[23]Listas!$F$53,W855=[23]Listas!$F$54),[23]Listas!$G$53,IF(W855=[23]Listas!$F$55,[23]Listas!$G$55,""))</f>
        <v/>
      </c>
      <c r="Z855" s="319"/>
      <c r="AA855" s="182" t="str">
        <f>+IF(Z855=[23]Listas!$E$46,[23]Listas!$F$46,IF(Z855=[23]Listas!$E$47,[23]Listas!$F$47,""))</f>
        <v/>
      </c>
      <c r="AB855" s="183" t="str">
        <f t="shared" ref="AB855:AB861" si="131">IFERROR(X855+AA855,"")</f>
        <v/>
      </c>
      <c r="AC855" s="328"/>
      <c r="AD855" s="329"/>
      <c r="AE855" s="330"/>
      <c r="AF855" s="305" t="str">
        <f t="shared" si="128"/>
        <v>Muy baja</v>
      </c>
      <c r="AG855" s="145">
        <f>IF(Y855=[23]Listas!$G$53,AG854-(AG854*AB855),AG854)</f>
        <v>0.108</v>
      </c>
      <c r="AH855" s="562"/>
      <c r="AI855" s="305" t="str">
        <f t="shared" si="130"/>
        <v>Mayor</v>
      </c>
      <c r="AJ855" s="145">
        <f>IF(Y855=[23]Listas!$G$55,AJ854-(AJ854*AB855),AJ854)</f>
        <v>0.8</v>
      </c>
      <c r="AK855" s="562"/>
      <c r="AL855" s="565"/>
      <c r="AM855" s="565"/>
      <c r="AN855" s="565"/>
      <c r="AO855" s="568"/>
      <c r="AP855" s="571"/>
      <c r="AQ855" s="344"/>
      <c r="AR855" s="191"/>
    </row>
    <row r="856" spans="2:44" ht="15.75" hidden="1" customHeight="1" thickTop="1" x14ac:dyDescent="0.35">
      <c r="B856" s="537"/>
      <c r="C856" s="560"/>
      <c r="D856" s="610"/>
      <c r="E856" s="577"/>
      <c r="F856" s="646"/>
      <c r="G856" s="663"/>
      <c r="H856" s="666"/>
      <c r="I856" s="589"/>
      <c r="J856" s="589"/>
      <c r="K856" s="592"/>
      <c r="L856" s="589"/>
      <c r="M856" s="595"/>
      <c r="N856" s="598"/>
      <c r="O856" s="601"/>
      <c r="P856" s="595"/>
      <c r="Q856" s="604"/>
      <c r="R856" s="601"/>
      <c r="S856" s="287"/>
      <c r="T856" s="604"/>
      <c r="U856" s="142" t="s">
        <v>198</v>
      </c>
      <c r="V856" s="418"/>
      <c r="W856" s="331"/>
      <c r="X856" s="320" t="str">
        <f>IF(W856=[23]Listas!$B$46,[23]Listas!$C$46,IF(W856=[23]Listas!$B$47,[23]Listas!$C$47,IF(W856=[23]Listas!$B$48,[23]Listas!$C$48,"")))</f>
        <v/>
      </c>
      <c r="Y856" s="321" t="str">
        <f>IF(OR(W856=[23]Listas!$F$53,W856=[23]Listas!$F$54),[23]Listas!$G$53,IF(W856=[23]Listas!$F$55,[23]Listas!$G$55,""))</f>
        <v/>
      </c>
      <c r="Z856" s="331"/>
      <c r="AA856" s="182" t="str">
        <f>+IF(Z856=[23]Listas!$E$46,[23]Listas!$F$46,IF(Z856=[23]Listas!$E$47,[23]Listas!$F$47,""))</f>
        <v/>
      </c>
      <c r="AB856" s="183" t="str">
        <f t="shared" si="131"/>
        <v/>
      </c>
      <c r="AC856" s="319"/>
      <c r="AD856" s="322"/>
      <c r="AE856" s="323"/>
      <c r="AF856" s="305" t="str">
        <f t="shared" si="128"/>
        <v>Muy baja</v>
      </c>
      <c r="AG856" s="145">
        <f>IF(Y856=[23]Listas!$G$53,AG855-(AG855*AB856),AG855)</f>
        <v>0.108</v>
      </c>
      <c r="AH856" s="562"/>
      <c r="AI856" s="305" t="str">
        <f t="shared" si="130"/>
        <v>Mayor</v>
      </c>
      <c r="AJ856" s="145">
        <f>IF(Y856=[23]Listas!$G$55,AJ855-(AJ855*AB856),AJ855)</f>
        <v>0.8</v>
      </c>
      <c r="AK856" s="562"/>
      <c r="AL856" s="565"/>
      <c r="AM856" s="565"/>
      <c r="AN856" s="565"/>
      <c r="AO856" s="568"/>
      <c r="AP856" s="571"/>
      <c r="AQ856" s="345"/>
      <c r="AR856" s="191"/>
    </row>
    <row r="857" spans="2:44" ht="15.75" hidden="1" customHeight="1" thickTop="1" x14ac:dyDescent="0.35">
      <c r="B857" s="537"/>
      <c r="C857" s="560"/>
      <c r="D857" s="610"/>
      <c r="E857" s="577"/>
      <c r="F857" s="646"/>
      <c r="G857" s="663"/>
      <c r="H857" s="666"/>
      <c r="I857" s="589"/>
      <c r="J857" s="589"/>
      <c r="K857" s="592"/>
      <c r="L857" s="589"/>
      <c r="M857" s="595"/>
      <c r="N857" s="598"/>
      <c r="O857" s="601"/>
      <c r="P857" s="595"/>
      <c r="Q857" s="604"/>
      <c r="R857" s="601"/>
      <c r="S857" s="288"/>
      <c r="T857" s="604"/>
      <c r="U857" s="142" t="s">
        <v>208</v>
      </c>
      <c r="V857" s="418"/>
      <c r="W857" s="331"/>
      <c r="X857" s="320" t="str">
        <f>IF(W857=[23]Listas!$B$46,[23]Listas!$C$46,IF(W857=[23]Listas!$B$47,[23]Listas!$C$47,IF(W857=[23]Listas!$B$48,[23]Listas!$C$48,"")))</f>
        <v/>
      </c>
      <c r="Y857" s="321" t="str">
        <f>IF(OR(W857=[23]Listas!$F$53,W857=[23]Listas!$F$54),[23]Listas!$G$53,IF(W857=[23]Listas!$F$55,[23]Listas!$G$55,""))</f>
        <v/>
      </c>
      <c r="Z857" s="331"/>
      <c r="AA857" s="182" t="str">
        <f>+IF(Z857=[23]Listas!$E$46,[23]Listas!$F$46,IF(Z857=[23]Listas!$E$47,[23]Listas!$F$47,""))</f>
        <v/>
      </c>
      <c r="AB857" s="183" t="str">
        <f t="shared" si="131"/>
        <v/>
      </c>
      <c r="AC857" s="319"/>
      <c r="AD857" s="322"/>
      <c r="AE857" s="323"/>
      <c r="AF857" s="305" t="str">
        <f t="shared" si="128"/>
        <v>Muy baja</v>
      </c>
      <c r="AG857" s="145">
        <f>IF(Y857=[23]Listas!$G$53,AG856-(AG856*AB857),AG856)</f>
        <v>0.108</v>
      </c>
      <c r="AH857" s="562"/>
      <c r="AI857" s="305" t="str">
        <f t="shared" si="130"/>
        <v>Mayor</v>
      </c>
      <c r="AJ857" s="145">
        <f>IF(Y857=[23]Listas!$G$55,AJ856-(AJ856*AB857),AJ856)</f>
        <v>0.8</v>
      </c>
      <c r="AK857" s="562"/>
      <c r="AL857" s="565"/>
      <c r="AM857" s="565"/>
      <c r="AN857" s="565"/>
      <c r="AO857" s="568"/>
      <c r="AP857" s="571"/>
      <c r="AQ857" s="343"/>
      <c r="AR857" s="191"/>
    </row>
    <row r="858" spans="2:44" ht="15.75" hidden="1" customHeight="1" thickTop="1" x14ac:dyDescent="0.35">
      <c r="B858" s="537"/>
      <c r="C858" s="560"/>
      <c r="D858" s="610"/>
      <c r="E858" s="577"/>
      <c r="F858" s="646"/>
      <c r="G858" s="663"/>
      <c r="H858" s="666"/>
      <c r="I858" s="589"/>
      <c r="J858" s="589"/>
      <c r="K858" s="592"/>
      <c r="L858" s="589"/>
      <c r="M858" s="595"/>
      <c r="N858" s="598"/>
      <c r="O858" s="601"/>
      <c r="P858" s="595"/>
      <c r="Q858" s="604"/>
      <c r="R858" s="601"/>
      <c r="S858" s="289"/>
      <c r="T858" s="604"/>
      <c r="U858" s="142" t="s">
        <v>215</v>
      </c>
      <c r="V858" s="418"/>
      <c r="W858" s="331"/>
      <c r="X858" s="320" t="str">
        <f>IF(W858=[23]Listas!$B$46,[23]Listas!$C$46,IF(W858=[23]Listas!$B$47,[23]Listas!$C$47,IF(W858=[23]Listas!$B$48,[23]Listas!$C$48,"")))</f>
        <v/>
      </c>
      <c r="Y858" s="321" t="str">
        <f>IF(OR(W858=[23]Listas!$F$53,W858=[23]Listas!$F$54),[23]Listas!$G$53,IF(W858=[23]Listas!$F$55,[23]Listas!$G$55,""))</f>
        <v/>
      </c>
      <c r="Z858" s="331"/>
      <c r="AA858" s="182" t="str">
        <f>+IF(Z858=[23]Listas!$E$46,[23]Listas!$F$46,IF(Z858=[23]Listas!$E$47,[23]Listas!$F$47,""))</f>
        <v/>
      </c>
      <c r="AB858" s="183" t="str">
        <f t="shared" si="131"/>
        <v/>
      </c>
      <c r="AC858" s="319"/>
      <c r="AD858" s="322"/>
      <c r="AE858" s="323"/>
      <c r="AF858" s="305" t="str">
        <f t="shared" si="128"/>
        <v>Muy baja</v>
      </c>
      <c r="AG858" s="145">
        <f>IF(Y858=[23]Listas!$G$53,AG857-(AG857*AB858),AG857)</f>
        <v>0.108</v>
      </c>
      <c r="AH858" s="562"/>
      <c r="AI858" s="305" t="str">
        <f t="shared" si="130"/>
        <v>Mayor</v>
      </c>
      <c r="AJ858" s="145">
        <f>IF(Y858=[23]Listas!$G$55,AJ857-(AJ857*AB858),AJ857)</f>
        <v>0.8</v>
      </c>
      <c r="AK858" s="562"/>
      <c r="AL858" s="565"/>
      <c r="AM858" s="565"/>
      <c r="AN858" s="565"/>
      <c r="AO858" s="568"/>
      <c r="AP858" s="571"/>
      <c r="AQ858" s="343"/>
      <c r="AR858" s="191"/>
    </row>
    <row r="859" spans="2:44" ht="15.75" hidden="1" customHeight="1" thickTop="1" x14ac:dyDescent="0.35">
      <c r="B859" s="537"/>
      <c r="C859" s="560"/>
      <c r="D859" s="610"/>
      <c r="E859" s="577"/>
      <c r="F859" s="646"/>
      <c r="G859" s="663"/>
      <c r="H859" s="666"/>
      <c r="I859" s="589"/>
      <c r="J859" s="589"/>
      <c r="K859" s="592"/>
      <c r="L859" s="589"/>
      <c r="M859" s="595"/>
      <c r="N859" s="598"/>
      <c r="O859" s="601"/>
      <c r="P859" s="595"/>
      <c r="Q859" s="604"/>
      <c r="R859" s="601"/>
      <c r="S859" s="289"/>
      <c r="T859" s="604"/>
      <c r="U859" s="142" t="s">
        <v>220</v>
      </c>
      <c r="V859" s="418"/>
      <c r="W859" s="331"/>
      <c r="X859" s="320" t="str">
        <f>IF(W859=[23]Listas!$B$46,[23]Listas!$C$46,IF(W859=[23]Listas!$B$47,[23]Listas!$C$47,IF(W859=[23]Listas!$B$48,[23]Listas!$C$48,"")))</f>
        <v/>
      </c>
      <c r="Y859" s="321" t="str">
        <f>IF(OR(W859=[23]Listas!$F$53,W859=[23]Listas!$F$54),[23]Listas!$G$53,IF(W859=[23]Listas!$F$55,[23]Listas!$G$55,""))</f>
        <v/>
      </c>
      <c r="Z859" s="331"/>
      <c r="AA859" s="182" t="str">
        <f>+IF(Z859=[23]Listas!$E$46,[23]Listas!$F$46,IF(Z859=[23]Listas!$E$47,[23]Listas!$F$47,""))</f>
        <v/>
      </c>
      <c r="AB859" s="183" t="str">
        <f t="shared" si="131"/>
        <v/>
      </c>
      <c r="AC859" s="319"/>
      <c r="AD859" s="322"/>
      <c r="AE859" s="323"/>
      <c r="AF859" s="305" t="str">
        <f t="shared" si="128"/>
        <v>Muy baja</v>
      </c>
      <c r="AG859" s="145">
        <f>IF(Y859=[23]Listas!$G$53,AG858-(AG858*AB859),AG858)</f>
        <v>0.108</v>
      </c>
      <c r="AH859" s="562"/>
      <c r="AI859" s="305" t="str">
        <f t="shared" si="130"/>
        <v>Mayor</v>
      </c>
      <c r="AJ859" s="145">
        <f>IF(Y859=[23]Listas!$G$55,AJ858-(AJ858*AB859),AJ858)</f>
        <v>0.8</v>
      </c>
      <c r="AK859" s="562"/>
      <c r="AL859" s="565"/>
      <c r="AM859" s="565"/>
      <c r="AN859" s="565"/>
      <c r="AO859" s="568"/>
      <c r="AP859" s="571"/>
      <c r="AQ859" s="344"/>
      <c r="AR859" s="191"/>
    </row>
    <row r="860" spans="2:44" ht="15.75" hidden="1" customHeight="1" thickTop="1" x14ac:dyDescent="0.35">
      <c r="B860" s="537"/>
      <c r="C860" s="560"/>
      <c r="D860" s="610"/>
      <c r="E860" s="577"/>
      <c r="F860" s="646"/>
      <c r="G860" s="663"/>
      <c r="H860" s="666"/>
      <c r="I860" s="589"/>
      <c r="J860" s="589"/>
      <c r="K860" s="592"/>
      <c r="L860" s="589"/>
      <c r="M860" s="595"/>
      <c r="N860" s="598"/>
      <c r="O860" s="601"/>
      <c r="P860" s="595"/>
      <c r="Q860" s="604"/>
      <c r="R860" s="601"/>
      <c r="S860" s="289"/>
      <c r="T860" s="604"/>
      <c r="U860" s="142" t="s">
        <v>223</v>
      </c>
      <c r="V860" s="418"/>
      <c r="W860" s="331"/>
      <c r="X860" s="320" t="str">
        <f>IF(W860=[23]Listas!$B$46,[23]Listas!$C$46,IF(W860=[23]Listas!$B$47,[23]Listas!$C$47,IF(W860=[23]Listas!$B$48,[23]Listas!$C$48,"")))</f>
        <v/>
      </c>
      <c r="Y860" s="321" t="str">
        <f>IF(OR(W860=[23]Listas!$F$53,W860=[23]Listas!$F$54),[23]Listas!$G$53,IF(W860=[23]Listas!$F$55,[23]Listas!$G$55,""))</f>
        <v/>
      </c>
      <c r="Z860" s="331"/>
      <c r="AA860" s="182" t="str">
        <f>+IF(Z860=[23]Listas!$E$46,[23]Listas!$F$46,IF(Z860=[23]Listas!$E$47,[23]Listas!$F$47,""))</f>
        <v/>
      </c>
      <c r="AB860" s="183" t="str">
        <f t="shared" si="131"/>
        <v/>
      </c>
      <c r="AC860" s="319"/>
      <c r="AD860" s="322"/>
      <c r="AE860" s="323"/>
      <c r="AF860" s="305" t="str">
        <f t="shared" si="128"/>
        <v>Muy baja</v>
      </c>
      <c r="AG860" s="145">
        <f>IF(Y860=[23]Listas!$G$53,AG859-(AG859*AB860),AG859)</f>
        <v>0.108</v>
      </c>
      <c r="AH860" s="562"/>
      <c r="AI860" s="305" t="str">
        <f t="shared" si="130"/>
        <v>Mayor</v>
      </c>
      <c r="AJ860" s="145">
        <f>IF(Y860=[23]Listas!$G$55,AJ859-(AJ859*AB860),AJ859)</f>
        <v>0.8</v>
      </c>
      <c r="AK860" s="562"/>
      <c r="AL860" s="565"/>
      <c r="AM860" s="565"/>
      <c r="AN860" s="565"/>
      <c r="AO860" s="568"/>
      <c r="AP860" s="571"/>
      <c r="AQ860" s="343"/>
      <c r="AR860" s="191"/>
    </row>
    <row r="861" spans="2:44" ht="15.75" hidden="1" customHeight="1" thickTop="1" x14ac:dyDescent="0.35">
      <c r="B861" s="537"/>
      <c r="C861" s="560"/>
      <c r="D861" s="611"/>
      <c r="E861" s="578"/>
      <c r="F861" s="647"/>
      <c r="G861" s="664"/>
      <c r="H861" s="667"/>
      <c r="I861" s="590"/>
      <c r="J861" s="590"/>
      <c r="K861" s="593"/>
      <c r="L861" s="590"/>
      <c r="M861" s="596"/>
      <c r="N861" s="599"/>
      <c r="O861" s="602"/>
      <c r="P861" s="596"/>
      <c r="Q861" s="605"/>
      <c r="R861" s="602"/>
      <c r="S861" s="293"/>
      <c r="T861" s="605"/>
      <c r="U861" s="202" t="s">
        <v>224</v>
      </c>
      <c r="V861" s="416"/>
      <c r="W861" s="335"/>
      <c r="X861" s="336" t="str">
        <f>IF(W861=[23]Listas!$B$46,[23]Listas!$C$46,IF(W861=[23]Listas!$B$47,[23]Listas!$C$47,IF(W861=[23]Listas!$B$48,[23]Listas!$C$48,"")))</f>
        <v/>
      </c>
      <c r="Y861" s="337" t="str">
        <f>IF(OR(W861=[23]Listas!$F$53,W861=[23]Listas!$F$54),[23]Listas!$G$53,IF(W861=[23]Listas!$F$55,[23]Listas!$G$55,""))</f>
        <v/>
      </c>
      <c r="Z861" s="335"/>
      <c r="AA861" s="186" t="str">
        <f>+IF(Z861=[23]Listas!$E$46,[23]Listas!$F$46,IF(Z861=[23]Listas!$E$47,[23]Listas!$F$47,""))</f>
        <v/>
      </c>
      <c r="AB861" s="187" t="str">
        <f t="shared" si="131"/>
        <v/>
      </c>
      <c r="AC861" s="338"/>
      <c r="AD861" s="339"/>
      <c r="AE861" s="340"/>
      <c r="AF861" s="311" t="str">
        <f t="shared" si="128"/>
        <v>Muy baja</v>
      </c>
      <c r="AG861" s="179">
        <f>IF(Y861=[23]Listas!$G$53,AG860-(AG860*AB861),AG860)</f>
        <v>0.108</v>
      </c>
      <c r="AH861" s="563"/>
      <c r="AI861" s="311" t="str">
        <f t="shared" si="130"/>
        <v>Mayor</v>
      </c>
      <c r="AJ861" s="179">
        <f>IF(Y861=[23]Listas!$G$55,AJ860-(AJ860*AB861),AJ860)</f>
        <v>0.8</v>
      </c>
      <c r="AK861" s="563"/>
      <c r="AL861" s="566"/>
      <c r="AM861" s="566"/>
      <c r="AN861" s="566"/>
      <c r="AO861" s="569"/>
      <c r="AP861" s="572"/>
      <c r="AQ861" s="359"/>
      <c r="AR861" s="192"/>
    </row>
    <row r="862" spans="2:44" ht="130.5" customHeight="1" thickTop="1" thickBot="1" x14ac:dyDescent="0.4">
      <c r="B862" s="537"/>
      <c r="C862" s="560"/>
      <c r="D862" s="609" t="s">
        <v>965</v>
      </c>
      <c r="E862" s="576" t="s">
        <v>3</v>
      </c>
      <c r="F862" s="645" t="s">
        <v>966</v>
      </c>
      <c r="G862" s="662" t="s">
        <v>967</v>
      </c>
      <c r="H862" s="665" t="s">
        <v>968</v>
      </c>
      <c r="I862" s="588" t="s">
        <v>20</v>
      </c>
      <c r="J862" s="588" t="s">
        <v>22</v>
      </c>
      <c r="K862" s="591"/>
      <c r="L862" s="588" t="s">
        <v>168</v>
      </c>
      <c r="M862" s="594" t="s">
        <v>214</v>
      </c>
      <c r="N862" s="597" t="str">
        <f>+IF(M862="","",IF(M862=$BO$15,$BN$15,IF(M862=$BO$16,$BN$16,IF(M862=$BO$17,$BN$17,IF(M862=$BO$18,$BN$18,IF(M862=$BO$19,$BN$19))))))</f>
        <v>Media</v>
      </c>
      <c r="O862" s="600">
        <f>+IF(M862="","",IF(M862=$BO$15,$BR$15,IF(M862=$BO$16,$BR$16,IF(M862=$BO$17,$BR$17,IF(M862=$BO$18,$BR$18,IF(M862=$BO$19,$BR$19))))))</f>
        <v>0.6</v>
      </c>
      <c r="P862" s="594" t="s">
        <v>218</v>
      </c>
      <c r="Q862" s="603" t="str">
        <f>+IF(P862="","",IF(P862='[23]Mapa de Calor inherente'!$AF$6,'[23]Mapa de Calor inherente'!$AD$6,IF(P862='[23]Mapa de Calor inherente'!$AF$7,'[23]Mapa de Calor inherente'!$AD$7,IF(P862='[23]Mapa de Calor inherente'!$AF$8,'[23]Mapa de Calor inherente'!$AD$8,IF(P862='[23]Mapa de Calor inherente'!$AF$9,'[23]Mapa de Calor inherente'!$AD$9,IF(P862='[23]Mapa de Calor inherente'!$AF$10,'[23]Mapa de Calor inherente'!$AD$10,IF(P862='[23]Mapa de Calor inherente'!$AG$6,'[23]Mapa de Calor inherente'!$AD$6,IF(P862='[23]Mapa de Calor inherente'!$AG$7,'[23]Mapa de Calor inherente'!$AD$7,IF(P862='[23]Mapa de Calor inherente'!$AG$8,'[23]Mapa de Calor inherente'!$AD$8,IF(P862='[23]Mapa de Calor inherente'!$AG$9,'[23]Mapa de Calor inherente'!$AD$9,IF(P862='[23]Mapa de Calor inherente'!$AG$10,'[23]Mapa de Calor inherente'!$AD$10,IF(P862='[23]Mapa de Calor inherente'!$AD$8,'[23]Mapa de Calor inherente'!$AD$8,IF(P862='[23]Mapa de Calor inherente'!$AD$9,'[23]Mapa de Calor inherente'!$AD$9,IF(P862='[23]Mapa de Calor inherente'!$AD$10,'[23]Mapa de Calor inherente'!$AD$10))))))))))))))</f>
        <v>Mayor</v>
      </c>
      <c r="R862" s="600">
        <f>+IF(P862="","",IF(P862='[23]Mapa de Calor inherente'!$AF$6,'[23]Mapa de Calor inherente'!$AE$6,IF(P862='[23]Mapa de Calor inherente'!$AF$7,'[23]Mapa de Calor inherente'!$AE$7,IF(P862='[23]Mapa de Calor inherente'!$AF$8,'[23]Mapa de Calor inherente'!$AE$8,IF(P862='[23]Mapa de Calor inherente'!$AF$9,'[23]Mapa de Calor inherente'!$AE$9,IF(P862='[23]Mapa de Calor inherente'!$AF$10,'[23]Mapa de Calor inherente'!$AE$10,IF(P862='[23]Mapa de Calor inherente'!$AG$6,'[23]Mapa de Calor inherente'!$AE$6,IF(P862='[23]Mapa de Calor inherente'!$AG$7,'[23]Mapa de Calor inherente'!$AE$7,IF(P862='[23]Mapa de Calor inherente'!$AG$8,'[23]Mapa de Calor inherente'!$AE$8,IF(P862='[23]Mapa de Calor inherente'!$AG$9,'[23]Mapa de Calor inherente'!$AE$9,IF(P862='[23]Mapa de Calor inherente'!$AG$10,'[23]Mapa de Calor inherente'!$AE$10,IF(P862='[23]Mapa de Calor inherente'!$AD$8,'[23]Mapa de Calor inherente'!$AE$8,IF(P862='[23]Mapa de Calor inherente'!$AD$9,'[23]Mapa de Calor inherente'!$AE$9,IF(P862='[23]Mapa de Calor inherente'!$AD$10,'[23]Mapa de Calor inherente'!$AE$10))))))))))))))</f>
        <v>0.8</v>
      </c>
      <c r="S862" s="292" t="e">
        <f>IF(N862="","",IF(R862="","",(N862*R862)))</f>
        <v>#VALUE!</v>
      </c>
      <c r="T862" s="603" t="str">
        <f>+IF(N862=$BB$17,IF(Q862=$BC$16,$BC$17,IF(Q862=$BD$16,$BD$17,IF(Q862=$BE$16,$BE$17,IF(Q862=$BF$16,$BF$17,IF(Q862=$BG$16,$BG$17))))),IF(N862=$BB$18,IF(Q862=$BC$16,$BC$18,IF(Q862=$BD$16,$BD$18,IF(Q862=$BE$16,$BE$18,IF(Q862=$BF$16,$BF$18,IF(Q862=$BG$16,$BG$18))))),IF(N862=$BB$19,IF(Q862=$BC$16,$BC$19,IF(Q862=$BD$16,$BD$19,IF(Q862=$BE$16,$BE$19,IF(Q862=$BF$16,$BF$19,IF(Q862=$BG$16,$BG$19))))),IF(N862=$BB$20,IF(Q862=$BC$16,$BC$20,IF(Q862=$BD$16,$BD$20,IF(Q862=$BE$16,$BE$20,IF(Q862=$BF$16,$BF$20,IF(Q862=$BG$16,$BG$20))))),IF(N862=$BB$21,IF(Q862=$BC$16,$BC$21,IF(Q862=$BD$16,$BD$21,IF(Q862=$BE$16,$BE$21,IF(Q862=$BF$16,$BF$21,IF(Q862=$BG$16,$BG$21))))),"")))))</f>
        <v>Alto</v>
      </c>
      <c r="U862" s="139" t="s">
        <v>171</v>
      </c>
      <c r="V862" s="455" t="s">
        <v>969</v>
      </c>
      <c r="W862" s="313" t="s">
        <v>40</v>
      </c>
      <c r="X862" s="314">
        <f>IF(W862=[23]Listas!$B$46,[23]Listas!$C$46,IF(W862=[23]Listas!$B$47,[23]Listas!$C$47,IF(W862=[23]Listas!$B$48,[23]Listas!$C$48,"")))</f>
        <v>0.25</v>
      </c>
      <c r="Y862" s="315" t="str">
        <f>IF(OR(W862=[23]Listas!$F$53,W862=[23]Listas!$F$54),[23]Listas!$G$53,IF(W862=[23]Listas!$F$55,[23]Listas!$G$55,""))</f>
        <v>Probabilidad</v>
      </c>
      <c r="Z862" s="313" t="s">
        <v>43</v>
      </c>
      <c r="AA862" s="314">
        <f>+IF(Z862=[23]Listas!$E$46,[23]Listas!$F$46,IF(Z862=[23]Listas!$E$47,[23]Listas!$F$47,""))</f>
        <v>0.15</v>
      </c>
      <c r="AB862" s="181">
        <f>IFERROR(X862+AA862,"")</f>
        <v>0.4</v>
      </c>
      <c r="AC862" s="313" t="s">
        <v>57</v>
      </c>
      <c r="AD862" s="316" t="s">
        <v>58</v>
      </c>
      <c r="AE862" s="317" t="s">
        <v>59</v>
      </c>
      <c r="AF862" s="299" t="str">
        <f t="shared" si="128"/>
        <v>Baja</v>
      </c>
      <c r="AG862" s="141">
        <f>IF(Y862=[23]Listas!$G$53,O862-(O862*AB862),O862)</f>
        <v>0.36</v>
      </c>
      <c r="AH862" s="561">
        <f>+IF(AG871="","",AG871)</f>
        <v>0.216</v>
      </c>
      <c r="AI862" s="299" t="str">
        <f>IF(AJ862="","",IF(AJ862&lt;=20%,"Leve",IF(AJ862&lt;=40%,"Menor",IF(AJ862&lt;=60%,"Moderado",IF(AJ862&lt;=80%,"Mayor","Catastrófico")))))</f>
        <v>Mayor</v>
      </c>
      <c r="AJ862" s="141">
        <f>IF(Y862=[23]Listas!$G$55,R862-(R862*AB862),R862)</f>
        <v>0.8</v>
      </c>
      <c r="AK862" s="561">
        <f>+IF(AJ871="","",AJ871)</f>
        <v>0.8</v>
      </c>
      <c r="AL862" s="564" t="str">
        <f>+IF(AH862=0,"",IF(AH862&lt;=$BA$21,$BB$21,IF(AH862&lt;=$BA$20,$BB$20,IF(AH862&lt;=$BA$19,$BB$19,IF(AH862&lt;=$BA$18,$BB$18,IF(AH862&lt;=$BA$17,$BB$17,""))))))</f>
        <v>Baja</v>
      </c>
      <c r="AM862" s="564" t="str">
        <f>+IF(AK862=0,"",IF(AK862&lt;=$BC$15,$BC$16,IF(AK862&lt;=$BD$15,$BD$16,IF(AK862&lt;=$BE$15,$BE$16,IF(AK862&lt;=$BF$15,$BF$16,IF(AK862&lt;=$BG$15,$BG$16,""))))))</f>
        <v>Mayor</v>
      </c>
      <c r="AN862" s="564" t="str">
        <f>IF(AL862=$BB$17,IF(AM862=$BC$16,$BC$17,IF(AM862=$BD$16,$BD$17,IF(AM862=$BE$16,$BE$17,IF(AM862=$BF$16,$BF$17,IF(AM862=$BG$16,$BG$17))))),IF(AL862=$BB$18,IF(AM862=$BC$16,$BC$18,IF(AM862=$BD$16,$BD$18,IF(AM862=$BE$16,$BE$18,IF(AM862=$BF$16,$BF$18,IF(AM862=$BG$16,$BG$18))))),IF(AL862=$BB$19,IF(AM862=$BC$16,$BC$19,IF(AM862=$BD$16,$BD$19,IF(AM862=$BE$16,$BE$19,IF(AM862=$BF$16,$BF$19,IF(AM862=$BG$16,$BG$19))))),IF(AL862=$BB$20,IF(AM862=$BC$16,$BC$20,IF(AM862=$BD$16,$BD$20,IF(AM862=$BE$16,$BE$20,IF(AM862=$BF$16,$BF$20,IF(AM862=$BG$16,$BG$20))))),IF(AL862=$BB$21,IF(AM862=$BC$16,$BC$21,IF(AM862=$BD$16,$BD$21,IF(AM862=$BE$16,$BE$21,IF(AM862=$BF$16,$BF$21,IF(AM862=$BG$16,$BG$21))))),"")))))</f>
        <v>Alto</v>
      </c>
      <c r="AO862" s="567" t="str">
        <f>IF(AP862="","",IF(AP862=[23]Listas!$F$61,[23]Listas!$G$61,IF(AP862=[23]Listas!$F$63,[23]Listas!$G$63,IF(AP862=[23]Listas!$F$64,[23]Listas!$G$64))))</f>
        <v>Requiere Plan de Acción</v>
      </c>
      <c r="AP862" s="570" t="str">
        <f>IF(AN862="","",IF(OR(AN862=[23]Listas!$E$61,AN862=[23]Listas!$E$62),[23]Listas!$F$61,IF(AN862=[23]Listas!$E$63,[23]Listas!$F$63,IF(AN862=[23]Listas!$E$64,[23]Listas!$F$64))))</f>
        <v>Reducir, evitar, compartir o transferir el riesgo</v>
      </c>
      <c r="AQ862" s="342" t="s">
        <v>90</v>
      </c>
      <c r="AR862" s="268" t="s">
        <v>970</v>
      </c>
    </row>
    <row r="863" spans="2:44" ht="107.15" customHeight="1" thickTop="1" thickBot="1" x14ac:dyDescent="0.4">
      <c r="B863" s="537"/>
      <c r="C863" s="560"/>
      <c r="D863" s="610"/>
      <c r="E863" s="577"/>
      <c r="F863" s="646"/>
      <c r="G863" s="663"/>
      <c r="H863" s="666"/>
      <c r="I863" s="589"/>
      <c r="J863" s="589"/>
      <c r="K863" s="592"/>
      <c r="L863" s="589"/>
      <c r="M863" s="595"/>
      <c r="N863" s="598"/>
      <c r="O863" s="601"/>
      <c r="P863" s="595"/>
      <c r="Q863" s="604"/>
      <c r="R863" s="601"/>
      <c r="S863" s="286"/>
      <c r="T863" s="604"/>
      <c r="U863" s="142" t="s">
        <v>174</v>
      </c>
      <c r="V863" s="513" t="s">
        <v>971</v>
      </c>
      <c r="W863" s="319" t="s">
        <v>40</v>
      </c>
      <c r="X863" s="320">
        <f>IF(W863=[23]Listas!$B$46,[23]Listas!$C$46,IF(W863=[23]Listas!$B$47,[23]Listas!$C$47,IF(W863=[23]Listas!$B$48,[23]Listas!$C$48,"")))</f>
        <v>0.25</v>
      </c>
      <c r="Y863" s="321" t="str">
        <f>IF(OR(W863=[23]Listas!$F$53,W863=[23]Listas!$F$54),[23]Listas!$G$53,IF(W863=[23]Listas!$F$55,[23]Listas!$G$55,""))</f>
        <v>Probabilidad</v>
      </c>
      <c r="Z863" s="319" t="s">
        <v>43</v>
      </c>
      <c r="AA863" s="182">
        <f>+IF(Z863=[23]Listas!$E$46,[23]Listas!$F$46,IF(Z863=[23]Listas!$E$47,[23]Listas!$F$47,""))</f>
        <v>0.15</v>
      </c>
      <c r="AB863" s="183">
        <f>IFERROR(X863+AA863,"")</f>
        <v>0.4</v>
      </c>
      <c r="AC863" s="319" t="s">
        <v>57</v>
      </c>
      <c r="AD863" s="322" t="s">
        <v>58</v>
      </c>
      <c r="AE863" s="323" t="s">
        <v>59</v>
      </c>
      <c r="AF863" s="305" t="str">
        <f t="shared" si="128"/>
        <v>Baja</v>
      </c>
      <c r="AG863" s="145">
        <f>IF(Y863=[23]Listas!$G$53,AG862-(AG862*AB863),AG862)</f>
        <v>0.216</v>
      </c>
      <c r="AH863" s="562"/>
      <c r="AI863" s="305" t="str">
        <f t="shared" ref="AI863:AI871" si="132">IF(AJ863="","",IF(AJ863&lt;=20%,"Leve",IF(AJ863&lt;=40%,"Menor",IF(AJ863&lt;=60%,"Moderado",IF(AJ863&lt;=80%,"Mayor","Catastrófico")))))</f>
        <v>Mayor</v>
      </c>
      <c r="AJ863" s="145">
        <f>IF(Y863=[23]Listas!$G$55,AJ862-(AJ862*AB863),AJ862)</f>
        <v>0.8</v>
      </c>
      <c r="AK863" s="562"/>
      <c r="AL863" s="565"/>
      <c r="AM863" s="565"/>
      <c r="AN863" s="565"/>
      <c r="AO863" s="568"/>
      <c r="AP863" s="571"/>
      <c r="AQ863" s="343"/>
      <c r="AR863" s="191"/>
    </row>
    <row r="864" spans="2:44" ht="16" hidden="1" customHeight="1" thickBot="1" x14ac:dyDescent="0.4">
      <c r="B864" s="537"/>
      <c r="C864" s="560"/>
      <c r="D864" s="610"/>
      <c r="E864" s="577"/>
      <c r="F864" s="646"/>
      <c r="G864" s="663"/>
      <c r="H864" s="666"/>
      <c r="I864" s="589"/>
      <c r="J864" s="589"/>
      <c r="K864" s="592"/>
      <c r="L864" s="589"/>
      <c r="M864" s="595"/>
      <c r="N864" s="598"/>
      <c r="O864" s="601"/>
      <c r="P864" s="595"/>
      <c r="Q864" s="604"/>
      <c r="R864" s="601"/>
      <c r="S864" s="287"/>
      <c r="T864" s="604"/>
      <c r="U864" s="142" t="s">
        <v>180</v>
      </c>
      <c r="V864" s="418"/>
      <c r="W864" s="331"/>
      <c r="X864" s="320" t="str">
        <f>IF(W864=[23]Listas!$B$46,[23]Listas!$C$46,IF(W864=[23]Listas!$B$47,[23]Listas!$C$47,IF(W864=[23]Listas!$B$48,[23]Listas!$C$48,"")))</f>
        <v/>
      </c>
      <c r="Y864" s="321" t="str">
        <f>IF(OR(W864=[23]Listas!$F$53,W864=[23]Listas!$F$54),[23]Listas!$G$53,IF(W864=[23]Listas!$F$55,[23]Listas!$G$55,""))</f>
        <v/>
      </c>
      <c r="Z864" s="319"/>
      <c r="AA864" s="182" t="str">
        <f>+IF(Z864=[23]Listas!$E$46,[23]Listas!$F$46,IF(Z864=[23]Listas!$E$47,[23]Listas!$F$47,""))</f>
        <v/>
      </c>
      <c r="AB864" s="183" t="str">
        <f>IFERROR(X864+AA864,"")</f>
        <v/>
      </c>
      <c r="AC864" s="325"/>
      <c r="AD864" s="326"/>
      <c r="AE864" s="327"/>
      <c r="AF864" s="305" t="str">
        <f t="shared" si="128"/>
        <v>Baja</v>
      </c>
      <c r="AG864" s="145">
        <f>IF(Y864=[23]Listas!$G$53,AG863-(AG863*AB864),AG863)</f>
        <v>0.216</v>
      </c>
      <c r="AH864" s="562"/>
      <c r="AI864" s="305" t="str">
        <f t="shared" si="132"/>
        <v>Mayor</v>
      </c>
      <c r="AJ864" s="145">
        <f>IF(Y864=[23]Listas!$G$55,AJ863-(AJ863*AB864),AJ863)</f>
        <v>0.8</v>
      </c>
      <c r="AK864" s="562"/>
      <c r="AL864" s="565"/>
      <c r="AM864" s="565"/>
      <c r="AN864" s="565"/>
      <c r="AO864" s="568"/>
      <c r="AP864" s="571"/>
      <c r="AQ864" s="344"/>
      <c r="AR864" s="191"/>
    </row>
    <row r="865" spans="2:44" ht="16" hidden="1" customHeight="1" thickTop="1" x14ac:dyDescent="0.35">
      <c r="B865" s="537"/>
      <c r="C865" s="560"/>
      <c r="D865" s="610"/>
      <c r="E865" s="577"/>
      <c r="F865" s="646"/>
      <c r="G865" s="663"/>
      <c r="H865" s="666"/>
      <c r="I865" s="589"/>
      <c r="J865" s="589"/>
      <c r="K865" s="592"/>
      <c r="L865" s="589"/>
      <c r="M865" s="595"/>
      <c r="N865" s="598"/>
      <c r="O865" s="601"/>
      <c r="P865" s="595"/>
      <c r="Q865" s="604"/>
      <c r="R865" s="601"/>
      <c r="S865" s="287"/>
      <c r="T865" s="604"/>
      <c r="U865" s="142" t="s">
        <v>190</v>
      </c>
      <c r="V865" s="418"/>
      <c r="W865" s="319"/>
      <c r="X865" s="320" t="str">
        <f>IF(W865=[23]Listas!$B$46,[23]Listas!$C$46,IF(W865=[23]Listas!$B$47,[23]Listas!$C$47,IF(W865=[23]Listas!$B$48,[23]Listas!$C$48,"")))</f>
        <v/>
      </c>
      <c r="Y865" s="321" t="str">
        <f>IF(OR(W865=[23]Listas!$F$53,W865=[23]Listas!$F$54),[23]Listas!$G$53,IF(W865=[23]Listas!$F$55,[23]Listas!$G$55,""))</f>
        <v/>
      </c>
      <c r="Z865" s="319"/>
      <c r="AA865" s="182" t="str">
        <f>+IF(Z865=[23]Listas!$E$46,[23]Listas!$F$46,IF(Z865=[23]Listas!$E$47,[23]Listas!$F$47,""))</f>
        <v/>
      </c>
      <c r="AB865" s="183" t="str">
        <f t="shared" ref="AB865:AB871" si="133">IFERROR(X865+AA865,"")</f>
        <v/>
      </c>
      <c r="AC865" s="328"/>
      <c r="AD865" s="329"/>
      <c r="AE865" s="330"/>
      <c r="AF865" s="305" t="str">
        <f t="shared" si="128"/>
        <v>Baja</v>
      </c>
      <c r="AG865" s="145">
        <f>IF(Y865=[23]Listas!$G$53,AG864-(AG864*AB865),AG864)</f>
        <v>0.216</v>
      </c>
      <c r="AH865" s="562"/>
      <c r="AI865" s="305" t="str">
        <f t="shared" si="132"/>
        <v>Mayor</v>
      </c>
      <c r="AJ865" s="145">
        <f>IF(Y865=[23]Listas!$G$55,AJ864-(AJ864*AB865),AJ864)</f>
        <v>0.8</v>
      </c>
      <c r="AK865" s="562"/>
      <c r="AL865" s="565"/>
      <c r="AM865" s="565"/>
      <c r="AN865" s="565"/>
      <c r="AO865" s="568"/>
      <c r="AP865" s="571"/>
      <c r="AQ865" s="343"/>
      <c r="AR865" s="191"/>
    </row>
    <row r="866" spans="2:44" ht="16" hidden="1" customHeight="1" thickTop="1" x14ac:dyDescent="0.35">
      <c r="B866" s="537"/>
      <c r="C866" s="560"/>
      <c r="D866" s="610"/>
      <c r="E866" s="577"/>
      <c r="F866" s="646"/>
      <c r="G866" s="663"/>
      <c r="H866" s="666"/>
      <c r="I866" s="589"/>
      <c r="J866" s="589"/>
      <c r="K866" s="592"/>
      <c r="L866" s="589"/>
      <c r="M866" s="595"/>
      <c r="N866" s="598"/>
      <c r="O866" s="601"/>
      <c r="P866" s="595"/>
      <c r="Q866" s="604"/>
      <c r="R866" s="601"/>
      <c r="S866" s="287"/>
      <c r="T866" s="604"/>
      <c r="U866" s="142" t="s">
        <v>198</v>
      </c>
      <c r="V866" s="418"/>
      <c r="W866" s="331"/>
      <c r="X866" s="320" t="str">
        <f>IF(W866=[23]Listas!$B$46,[23]Listas!$C$46,IF(W866=[23]Listas!$B$47,[23]Listas!$C$47,IF(W866=[23]Listas!$B$48,[23]Listas!$C$48,"")))</f>
        <v/>
      </c>
      <c r="Y866" s="321" t="str">
        <f>IF(OR(W866=[23]Listas!$F$53,W866=[23]Listas!$F$54),[23]Listas!$G$53,IF(W866=[23]Listas!$F$55,[23]Listas!$G$55,""))</f>
        <v/>
      </c>
      <c r="Z866" s="331"/>
      <c r="AA866" s="182" t="str">
        <f>+IF(Z866=[23]Listas!$E$46,[23]Listas!$F$46,IF(Z866=[23]Listas!$E$47,[23]Listas!$F$47,""))</f>
        <v/>
      </c>
      <c r="AB866" s="183" t="str">
        <f t="shared" si="133"/>
        <v/>
      </c>
      <c r="AC866" s="319"/>
      <c r="AD866" s="322"/>
      <c r="AE866" s="323"/>
      <c r="AF866" s="305" t="str">
        <f t="shared" si="128"/>
        <v>Baja</v>
      </c>
      <c r="AG866" s="145">
        <f>IF(Y866=[23]Listas!$G$53,AG865-(AG865*AB866),AG865)</f>
        <v>0.216</v>
      </c>
      <c r="AH866" s="562"/>
      <c r="AI866" s="305" t="str">
        <f t="shared" si="132"/>
        <v>Mayor</v>
      </c>
      <c r="AJ866" s="145">
        <f>IF(Y866=[23]Listas!$G$55,AJ865-(AJ865*AB866),AJ865)</f>
        <v>0.8</v>
      </c>
      <c r="AK866" s="562"/>
      <c r="AL866" s="565"/>
      <c r="AM866" s="565"/>
      <c r="AN866" s="565"/>
      <c r="AO866" s="568"/>
      <c r="AP866" s="571"/>
      <c r="AQ866" s="343"/>
      <c r="AR866" s="191"/>
    </row>
    <row r="867" spans="2:44" ht="16" hidden="1" customHeight="1" thickTop="1" x14ac:dyDescent="0.35">
      <c r="B867" s="537"/>
      <c r="C867" s="560"/>
      <c r="D867" s="610"/>
      <c r="E867" s="577"/>
      <c r="F867" s="646"/>
      <c r="G867" s="663"/>
      <c r="H867" s="666"/>
      <c r="I867" s="589"/>
      <c r="J867" s="589"/>
      <c r="K867" s="592"/>
      <c r="L867" s="589"/>
      <c r="M867" s="595"/>
      <c r="N867" s="598"/>
      <c r="O867" s="601"/>
      <c r="P867" s="595"/>
      <c r="Q867" s="604"/>
      <c r="R867" s="601"/>
      <c r="S867" s="288"/>
      <c r="T867" s="604"/>
      <c r="U867" s="142" t="s">
        <v>208</v>
      </c>
      <c r="V867" s="418"/>
      <c r="W867" s="331"/>
      <c r="X867" s="320" t="str">
        <f>IF(W867=[23]Listas!$B$46,[23]Listas!$C$46,IF(W867=[23]Listas!$B$47,[23]Listas!$C$47,IF(W867=[23]Listas!$B$48,[23]Listas!$C$48,"")))</f>
        <v/>
      </c>
      <c r="Y867" s="321" t="str">
        <f>IF(OR(W867=[23]Listas!$F$53,W867=[23]Listas!$F$54),[23]Listas!$G$53,IF(W867=[23]Listas!$F$55,[23]Listas!$G$55,""))</f>
        <v/>
      </c>
      <c r="Z867" s="331"/>
      <c r="AA867" s="182" t="str">
        <f>+IF(Z867=[23]Listas!$E$46,[23]Listas!$F$46,IF(Z867=[23]Listas!$E$47,[23]Listas!$F$47,""))</f>
        <v/>
      </c>
      <c r="AB867" s="183" t="str">
        <f t="shared" si="133"/>
        <v/>
      </c>
      <c r="AC867" s="319"/>
      <c r="AD867" s="322"/>
      <c r="AE867" s="323"/>
      <c r="AF867" s="305" t="str">
        <f t="shared" si="128"/>
        <v>Baja</v>
      </c>
      <c r="AG867" s="145">
        <f>IF(Y867=[23]Listas!$G$53,AG866-(AG866*AB867),AG866)</f>
        <v>0.216</v>
      </c>
      <c r="AH867" s="562"/>
      <c r="AI867" s="305" t="str">
        <f t="shared" si="132"/>
        <v>Mayor</v>
      </c>
      <c r="AJ867" s="145">
        <f>IF(Y867=[23]Listas!$G$55,AJ866-(AJ866*AB867),AJ866)</f>
        <v>0.8</v>
      </c>
      <c r="AK867" s="562"/>
      <c r="AL867" s="565"/>
      <c r="AM867" s="565"/>
      <c r="AN867" s="565"/>
      <c r="AO867" s="568"/>
      <c r="AP867" s="571"/>
      <c r="AQ867" s="343"/>
      <c r="AR867" s="191"/>
    </row>
    <row r="868" spans="2:44" ht="16" hidden="1" customHeight="1" thickTop="1" x14ac:dyDescent="0.35">
      <c r="B868" s="537"/>
      <c r="C868" s="560"/>
      <c r="D868" s="610"/>
      <c r="E868" s="577"/>
      <c r="F868" s="646"/>
      <c r="G868" s="663"/>
      <c r="H868" s="666"/>
      <c r="I868" s="589"/>
      <c r="J868" s="589"/>
      <c r="K868" s="592"/>
      <c r="L868" s="589"/>
      <c r="M868" s="595"/>
      <c r="N868" s="598"/>
      <c r="O868" s="601"/>
      <c r="P868" s="595"/>
      <c r="Q868" s="604"/>
      <c r="R868" s="601"/>
      <c r="S868" s="289"/>
      <c r="T868" s="604"/>
      <c r="U868" s="142" t="s">
        <v>215</v>
      </c>
      <c r="V868" s="418"/>
      <c r="W868" s="331"/>
      <c r="X868" s="320" t="str">
        <f>IF(W868=[23]Listas!$B$46,[23]Listas!$C$46,IF(W868=[23]Listas!$B$47,[23]Listas!$C$47,IF(W868=[23]Listas!$B$48,[23]Listas!$C$48,"")))</f>
        <v/>
      </c>
      <c r="Y868" s="321" t="str">
        <f>IF(OR(W868=[23]Listas!$F$53,W868=[23]Listas!$F$54),[23]Listas!$G$53,IF(W868=[23]Listas!$F$55,[23]Listas!$G$55,""))</f>
        <v/>
      </c>
      <c r="Z868" s="331"/>
      <c r="AA868" s="182" t="str">
        <f>+IF(Z868=[23]Listas!$E$46,[23]Listas!$F$46,IF(Z868=[23]Listas!$E$47,[23]Listas!$F$47,""))</f>
        <v/>
      </c>
      <c r="AB868" s="183" t="str">
        <f t="shared" si="133"/>
        <v/>
      </c>
      <c r="AC868" s="319"/>
      <c r="AD868" s="322"/>
      <c r="AE868" s="323"/>
      <c r="AF868" s="305" t="str">
        <f t="shared" si="128"/>
        <v>Baja</v>
      </c>
      <c r="AG868" s="145">
        <f>IF(Y868=[23]Listas!$G$53,AG867-(AG867*AB868),AG867)</f>
        <v>0.216</v>
      </c>
      <c r="AH868" s="562"/>
      <c r="AI868" s="305" t="str">
        <f t="shared" si="132"/>
        <v>Mayor</v>
      </c>
      <c r="AJ868" s="145">
        <f>IF(Y868=[23]Listas!$G$55,AJ867-(AJ867*AB868),AJ867)</f>
        <v>0.8</v>
      </c>
      <c r="AK868" s="562"/>
      <c r="AL868" s="565"/>
      <c r="AM868" s="565"/>
      <c r="AN868" s="565"/>
      <c r="AO868" s="568"/>
      <c r="AP868" s="571"/>
      <c r="AQ868" s="343"/>
      <c r="AR868" s="191"/>
    </row>
    <row r="869" spans="2:44" ht="16" hidden="1" customHeight="1" thickTop="1" x14ac:dyDescent="0.35">
      <c r="B869" s="537"/>
      <c r="C869" s="560"/>
      <c r="D869" s="610"/>
      <c r="E869" s="577"/>
      <c r="F869" s="646"/>
      <c r="G869" s="663"/>
      <c r="H869" s="666"/>
      <c r="I869" s="589"/>
      <c r="J869" s="589"/>
      <c r="K869" s="592"/>
      <c r="L869" s="589"/>
      <c r="M869" s="595"/>
      <c r="N869" s="598"/>
      <c r="O869" s="601"/>
      <c r="P869" s="595"/>
      <c r="Q869" s="604"/>
      <c r="R869" s="601"/>
      <c r="S869" s="289"/>
      <c r="T869" s="604"/>
      <c r="U869" s="142" t="s">
        <v>220</v>
      </c>
      <c r="V869" s="418"/>
      <c r="W869" s="331"/>
      <c r="X869" s="320" t="str">
        <f>IF(W869=[23]Listas!$B$46,[23]Listas!$C$46,IF(W869=[23]Listas!$B$47,[23]Listas!$C$47,IF(W869=[23]Listas!$B$48,[23]Listas!$C$48,"")))</f>
        <v/>
      </c>
      <c r="Y869" s="321" t="str">
        <f>IF(OR(W869=[23]Listas!$F$53,W869=[23]Listas!$F$54),[23]Listas!$G$53,IF(W869=[23]Listas!$F$55,[23]Listas!$G$55,""))</f>
        <v/>
      </c>
      <c r="Z869" s="331"/>
      <c r="AA869" s="182" t="str">
        <f>+IF(Z869=[23]Listas!$E$46,[23]Listas!$F$46,IF(Z869=[23]Listas!$E$47,[23]Listas!$F$47,""))</f>
        <v/>
      </c>
      <c r="AB869" s="183" t="str">
        <f t="shared" si="133"/>
        <v/>
      </c>
      <c r="AC869" s="319"/>
      <c r="AD869" s="322"/>
      <c r="AE869" s="323"/>
      <c r="AF869" s="305" t="str">
        <f t="shared" si="128"/>
        <v>Baja</v>
      </c>
      <c r="AG869" s="145">
        <f>IF(Y869=[23]Listas!$G$53,AG868-(AG868*AB869),AG868)</f>
        <v>0.216</v>
      </c>
      <c r="AH869" s="562"/>
      <c r="AI869" s="305" t="str">
        <f t="shared" si="132"/>
        <v>Mayor</v>
      </c>
      <c r="AJ869" s="145">
        <f>IF(Y869=[23]Listas!$G$55,AJ868-(AJ868*AB869),AJ868)</f>
        <v>0.8</v>
      </c>
      <c r="AK869" s="562"/>
      <c r="AL869" s="565"/>
      <c r="AM869" s="565"/>
      <c r="AN869" s="565"/>
      <c r="AO869" s="568"/>
      <c r="AP869" s="571"/>
      <c r="AQ869" s="343"/>
      <c r="AR869" s="191"/>
    </row>
    <row r="870" spans="2:44" ht="16" hidden="1" customHeight="1" thickTop="1" x14ac:dyDescent="0.35">
      <c r="B870" s="537"/>
      <c r="C870" s="560"/>
      <c r="D870" s="610"/>
      <c r="E870" s="577"/>
      <c r="F870" s="646"/>
      <c r="G870" s="663"/>
      <c r="H870" s="666"/>
      <c r="I870" s="589"/>
      <c r="J870" s="589"/>
      <c r="K870" s="592"/>
      <c r="L870" s="589"/>
      <c r="M870" s="595"/>
      <c r="N870" s="598"/>
      <c r="O870" s="601"/>
      <c r="P870" s="595"/>
      <c r="Q870" s="604"/>
      <c r="R870" s="601"/>
      <c r="S870" s="289"/>
      <c r="T870" s="604"/>
      <c r="U870" s="142" t="s">
        <v>223</v>
      </c>
      <c r="V870" s="418"/>
      <c r="W870" s="331"/>
      <c r="X870" s="320" t="str">
        <f>IF(W870=[23]Listas!$B$46,[23]Listas!$C$46,IF(W870=[23]Listas!$B$47,[23]Listas!$C$47,IF(W870=[23]Listas!$B$48,[23]Listas!$C$48,"")))</f>
        <v/>
      </c>
      <c r="Y870" s="321" t="str">
        <f>IF(OR(W870=[23]Listas!$F$53,W870=[23]Listas!$F$54),[23]Listas!$G$53,IF(W870=[23]Listas!$F$55,[23]Listas!$G$55,""))</f>
        <v/>
      </c>
      <c r="Z870" s="331"/>
      <c r="AA870" s="182" t="str">
        <f>+IF(Z870=[23]Listas!$E$46,[23]Listas!$F$46,IF(Z870=[23]Listas!$E$47,[23]Listas!$F$47,""))</f>
        <v/>
      </c>
      <c r="AB870" s="183" t="str">
        <f t="shared" si="133"/>
        <v/>
      </c>
      <c r="AC870" s="319"/>
      <c r="AD870" s="322"/>
      <c r="AE870" s="323"/>
      <c r="AF870" s="305" t="str">
        <f t="shared" si="128"/>
        <v>Baja</v>
      </c>
      <c r="AG870" s="145">
        <f>IF(Y870=[23]Listas!$G$53,AG869-(AG869*AB870),AG869)</f>
        <v>0.216</v>
      </c>
      <c r="AH870" s="562"/>
      <c r="AI870" s="305" t="str">
        <f t="shared" si="132"/>
        <v>Mayor</v>
      </c>
      <c r="AJ870" s="145">
        <f>IF(Y870=[23]Listas!$G$55,AJ869-(AJ869*AB870),AJ869)</f>
        <v>0.8</v>
      </c>
      <c r="AK870" s="562"/>
      <c r="AL870" s="565"/>
      <c r="AM870" s="565"/>
      <c r="AN870" s="565"/>
      <c r="AO870" s="568"/>
      <c r="AP870" s="571"/>
      <c r="AQ870" s="344"/>
      <c r="AR870" s="191"/>
    </row>
    <row r="871" spans="2:44" ht="16" hidden="1" customHeight="1" thickTop="1" x14ac:dyDescent="0.35">
      <c r="B871" s="537"/>
      <c r="C871" s="560"/>
      <c r="D871" s="610"/>
      <c r="E871" s="577"/>
      <c r="F871" s="646"/>
      <c r="G871" s="663"/>
      <c r="H871" s="666"/>
      <c r="I871" s="589"/>
      <c r="J871" s="589"/>
      <c r="K871" s="592"/>
      <c r="L871" s="589"/>
      <c r="M871" s="595"/>
      <c r="N871" s="659"/>
      <c r="O871" s="601"/>
      <c r="P871" s="595"/>
      <c r="Q871" s="660"/>
      <c r="R871" s="601"/>
      <c r="S871" s="289"/>
      <c r="T871" s="660"/>
      <c r="U871" s="213" t="s">
        <v>224</v>
      </c>
      <c r="V871" s="446"/>
      <c r="W871" s="353"/>
      <c r="X871" s="354" t="str">
        <f>IF(W871=[23]Listas!$B$46,[23]Listas!$C$46,IF(W871=[23]Listas!$B$47,[23]Listas!$C$47,IF(W871=[23]Listas!$B$48,[23]Listas!$C$48,"")))</f>
        <v/>
      </c>
      <c r="Y871" s="355" t="str">
        <f>IF(OR(W871=[23]Listas!$F$53,W871=[23]Listas!$F$54),[23]Listas!$G$53,IF(W871=[23]Listas!$F$55,[23]Listas!$G$55,""))</f>
        <v/>
      </c>
      <c r="Z871" s="353"/>
      <c r="AA871" s="214" t="str">
        <f>+IF(Z871=[23]Listas!$E$46,[23]Listas!$F$46,IF(Z871=[23]Listas!$E$47,[23]Listas!$F$47,""))</f>
        <v/>
      </c>
      <c r="AB871" s="215" t="str">
        <f t="shared" si="133"/>
        <v/>
      </c>
      <c r="AC871" s="325"/>
      <c r="AD871" s="326"/>
      <c r="AE871" s="327"/>
      <c r="AF871" s="352" t="str">
        <f t="shared" si="128"/>
        <v>Baja</v>
      </c>
      <c r="AG871" s="205">
        <f>IF(Y871=[23]Listas!$G$53,AG870-(AG870*AB871),AG870)</f>
        <v>0.216</v>
      </c>
      <c r="AH871" s="657"/>
      <c r="AI871" s="352" t="str">
        <f t="shared" si="132"/>
        <v>Mayor</v>
      </c>
      <c r="AJ871" s="205">
        <f>IF(Y871=[23]Listas!$G$55,AJ870-(AJ870*AB871),AJ870)</f>
        <v>0.8</v>
      </c>
      <c r="AK871" s="657"/>
      <c r="AL871" s="658"/>
      <c r="AM871" s="658"/>
      <c r="AN871" s="658"/>
      <c r="AO871" s="661"/>
      <c r="AP871" s="571"/>
      <c r="AQ871" s="345"/>
      <c r="AR871" s="197"/>
    </row>
    <row r="872" spans="2:44" ht="77.150000000000006" customHeight="1" thickTop="1" thickBot="1" x14ac:dyDescent="0.4">
      <c r="B872" s="537"/>
      <c r="C872" s="560"/>
      <c r="D872" s="609" t="s">
        <v>972</v>
      </c>
      <c r="E872" s="576" t="s">
        <v>5</v>
      </c>
      <c r="F872" s="645" t="s">
        <v>973</v>
      </c>
      <c r="G872" s="662" t="s">
        <v>974</v>
      </c>
      <c r="H872" s="665" t="s">
        <v>975</v>
      </c>
      <c r="I872" s="588" t="s">
        <v>28</v>
      </c>
      <c r="J872" s="588" t="s">
        <v>22</v>
      </c>
      <c r="K872" s="591"/>
      <c r="L872" s="588" t="s">
        <v>186</v>
      </c>
      <c r="M872" s="594" t="s">
        <v>214</v>
      </c>
      <c r="N872" s="597" t="str">
        <f>+IF(M872="","",IF(M872=$BO$15,$BN$15,IF(M872=$BO$16,$BN$16,IF(M872=$BO$17,$BN$17,IF(M872=$BO$18,$BN$18,IF(M872=$BO$19,$BN$19))))))</f>
        <v>Media</v>
      </c>
      <c r="O872" s="600">
        <f>+IF(M872="","",IF(M872=$BO$15,$BR$15,IF(M872=$BO$16,$BR$16,IF(M872=$BO$17,$BR$17,IF(M872=$BO$18,$BR$18,IF(M872=$BO$19,$BR$19))))))</f>
        <v>0.6</v>
      </c>
      <c r="P872" s="594" t="s">
        <v>195</v>
      </c>
      <c r="Q872" s="603" t="str">
        <f>+IF(P872="","",IF(P872='[23]Mapa de Calor inherente'!$AF$6,'[23]Mapa de Calor inherente'!$AD$6,IF(P872='[23]Mapa de Calor inherente'!$AF$7,'[23]Mapa de Calor inherente'!$AD$7,IF(P872='[23]Mapa de Calor inherente'!$AF$8,'[23]Mapa de Calor inherente'!$AD$8,IF(P872='[23]Mapa de Calor inherente'!$AF$9,'[23]Mapa de Calor inherente'!$AD$9,IF(P872='[23]Mapa de Calor inherente'!$AF$10,'[23]Mapa de Calor inherente'!$AD$10,IF(P872='[23]Mapa de Calor inherente'!$AG$6,'[23]Mapa de Calor inherente'!$AD$6,IF(P872='[23]Mapa de Calor inherente'!$AG$7,'[23]Mapa de Calor inherente'!$AD$7,IF(P872='[23]Mapa de Calor inherente'!$AG$8,'[23]Mapa de Calor inherente'!$AD$8,IF(P872='[23]Mapa de Calor inherente'!$AG$9,'[23]Mapa de Calor inherente'!$AD$9,IF(P872='[23]Mapa de Calor inherente'!$AG$10,'[23]Mapa de Calor inherente'!$AD$10,IF(P872='[23]Mapa de Calor inherente'!$AD$8,'[23]Mapa de Calor inherente'!$AD$8,IF(P872='[23]Mapa de Calor inherente'!$AD$9,'[23]Mapa de Calor inherente'!$AD$9,IF(P872='[23]Mapa de Calor inherente'!$AD$10,'[23]Mapa de Calor inherente'!$AD$10))))))))))))))</f>
        <v>Leve</v>
      </c>
      <c r="R872" s="600">
        <f>+IF(P872="","",IF(P872='[23]Mapa de Calor inherente'!$AF$6,'[23]Mapa de Calor inherente'!$AE$6,IF(P872='[23]Mapa de Calor inherente'!$AF$7,'[23]Mapa de Calor inherente'!$AE$7,IF(P872='[23]Mapa de Calor inherente'!$AF$8,'[23]Mapa de Calor inherente'!$AE$8,IF(P872='[23]Mapa de Calor inherente'!$AF$9,'[23]Mapa de Calor inherente'!$AE$9,IF(P872='[23]Mapa de Calor inherente'!$AF$10,'[23]Mapa de Calor inherente'!$AE$10,IF(P872='[23]Mapa de Calor inherente'!$AG$6,'[23]Mapa de Calor inherente'!$AE$6,IF(P872='[23]Mapa de Calor inherente'!$AG$7,'[23]Mapa de Calor inherente'!$AE$7,IF(P872='[23]Mapa de Calor inherente'!$AG$8,'[23]Mapa de Calor inherente'!$AE$8,IF(P872='[23]Mapa de Calor inherente'!$AG$9,'[23]Mapa de Calor inherente'!$AE$9,IF(P872='[23]Mapa de Calor inherente'!$AG$10,'[23]Mapa de Calor inherente'!$AE$10,IF(P872='[23]Mapa de Calor inherente'!$AD$8,'[23]Mapa de Calor inherente'!$AE$8,IF(P872='[23]Mapa de Calor inherente'!$AD$9,'[23]Mapa de Calor inherente'!$AE$9,IF(P872='[23]Mapa de Calor inherente'!$AD$10,'[23]Mapa de Calor inherente'!$AE$10))))))))))))))</f>
        <v>0.2</v>
      </c>
      <c r="S872" s="292" t="e">
        <f>IF(N872="","",IF(R872="","",(N872*R872)))</f>
        <v>#VALUE!</v>
      </c>
      <c r="T872" s="603" t="str">
        <f>+IF(N872=$BB$17,IF(Q872=$BC$16,$BC$17,IF(Q872=$BD$16,$BD$17,IF(Q872=$BE$16,$BE$17,IF(Q872=$BF$16,$BF$17,IF(Q872=$BG$16,$BG$17))))),IF(N872=$BB$18,IF(Q872=$BC$16,$BC$18,IF(Q872=$BD$16,$BD$18,IF(Q872=$BE$16,$BE$18,IF(Q872=$BF$16,$BF$18,IF(Q872=$BG$16,$BG$18))))),IF(N872=$BB$19,IF(Q872=$BC$16,$BC$19,IF(Q872=$BD$16,$BD$19,IF(Q872=$BE$16,$BE$19,IF(Q872=$BF$16,$BF$19,IF(Q872=$BG$16,$BG$19))))),IF(N872=$BB$20,IF(Q872=$BC$16,$BC$20,IF(Q872=$BD$16,$BD$20,IF(Q872=$BE$16,$BE$20,IF(Q872=$BF$16,$BF$20,IF(Q872=$BG$16,$BG$20))))),IF(N872=$BB$21,IF(Q872=$BC$16,$BC$21,IF(Q872=$BD$16,$BD$21,IF(Q872=$BE$16,$BE$21,IF(Q872=$BF$16,$BF$21,IF(Q872=$BG$16,$BG$21))))),"")))))</f>
        <v>Moderado</v>
      </c>
      <c r="U872" s="139" t="s">
        <v>171</v>
      </c>
      <c r="V872" s="455" t="s">
        <v>976</v>
      </c>
      <c r="W872" s="313" t="s">
        <v>40</v>
      </c>
      <c r="X872" s="314">
        <f>IF(W872=[23]Listas!$B$46,[23]Listas!$C$46,IF(W872=[23]Listas!$B$47,[23]Listas!$C$47,IF(W872=[23]Listas!$B$48,[23]Listas!$C$48,"")))</f>
        <v>0.25</v>
      </c>
      <c r="Y872" s="315" t="str">
        <f>IF(OR(W872=[23]Listas!$F$53,W872=[23]Listas!$F$54),[23]Listas!$G$53,IF(W872=[23]Listas!$F$55,[23]Listas!$G$55,""))</f>
        <v>Probabilidad</v>
      </c>
      <c r="Z872" s="313" t="s">
        <v>43</v>
      </c>
      <c r="AA872" s="314">
        <f>+IF(Z872=[23]Listas!$E$46,[23]Listas!$F$46,IF(Z872=[23]Listas!$E$47,[23]Listas!$F$47,""))</f>
        <v>0.15</v>
      </c>
      <c r="AB872" s="181">
        <f>IFERROR(X872+AA872,"")</f>
        <v>0.4</v>
      </c>
      <c r="AC872" s="313" t="s">
        <v>57</v>
      </c>
      <c r="AD872" s="316" t="s">
        <v>58</v>
      </c>
      <c r="AE872" s="317" t="s">
        <v>59</v>
      </c>
      <c r="AF872" s="299" t="str">
        <f t="shared" si="128"/>
        <v>Baja</v>
      </c>
      <c r="AG872" s="141">
        <f>IF(Y872=[23]Listas!$G$53,O872-(O872*AB872),O872)</f>
        <v>0.36</v>
      </c>
      <c r="AH872" s="561">
        <f>+IF(AG881="","",AG881)</f>
        <v>0.216</v>
      </c>
      <c r="AI872" s="299" t="str">
        <f>IF(AJ872="","",IF(AJ872&lt;=20%,"Leve",IF(AJ872&lt;=40%,"Menor",IF(AJ872&lt;=60%,"Moderado",IF(AJ872&lt;=80%,"Mayor","Catastrófico")))))</f>
        <v>Leve</v>
      </c>
      <c r="AJ872" s="141">
        <f>IF(Y872=[23]Listas!$G$55,R872-(R872*AB872),R872)</f>
        <v>0.2</v>
      </c>
      <c r="AK872" s="561">
        <f>+IF(AJ881="","",AJ881)</f>
        <v>0.2</v>
      </c>
      <c r="AL872" s="564" t="str">
        <f>+IF(AH872=0,"",IF(AH872&lt;=$BA$21,$BB$21,IF(AH872&lt;=$BA$20,$BB$20,IF(AH872&lt;=$BA$19,$BB$19,IF(AH872&lt;=$BA$18,$BB$18,IF(AH872&lt;=$BA$17,$BB$17,""))))))</f>
        <v>Baja</v>
      </c>
      <c r="AM872" s="564" t="str">
        <f>+IF(AK872=0,"",IF(AK872&lt;=$BC$15,$BC$16,IF(AK872&lt;=$BD$15,$BD$16,IF(AK872&lt;=$BE$15,$BE$16,IF(AK872&lt;=$BF$15,$BF$16,IF(AK872&lt;=$BG$15,$BG$16,""))))))</f>
        <v>Leve</v>
      </c>
      <c r="AN872" s="564" t="str">
        <f>IF(AL872=$BB$17,IF(AM872=$BC$16,$BC$17,IF(AM872=$BD$16,$BD$17,IF(AM872=$BE$16,$BE$17,IF(AM872=$BF$16,$BF$17,IF(AM872=$BG$16,$BG$17))))),IF(AL872=$BB$18,IF(AM872=$BC$16,$BC$18,IF(AM872=$BD$16,$BD$18,IF(AM872=$BE$16,$BE$18,IF(AM872=$BF$16,$BF$18,IF(AM872=$BG$16,$BG$18))))),IF(AL872=$BB$19,IF(AM872=$BC$16,$BC$19,IF(AM872=$BD$16,$BD$19,IF(AM872=$BE$16,$BE$19,IF(AM872=$BF$16,$BF$19,IF(AM872=$BG$16,$BG$19))))),IF(AL872=$BB$20,IF(AM872=$BC$16,$BC$20,IF(AM872=$BD$16,$BD$20,IF(AM872=$BE$16,$BE$20,IF(AM872=$BF$16,$BF$20,IF(AM872=$BG$16,$BG$20))))),IF(AL872=$BB$21,IF(AM872=$BC$16,$BC$21,IF(AM872=$BD$16,$BD$21,IF(AM872=$BE$16,$BE$21,IF(AM872=$BF$16,$BF$21,IF(AM872=$BG$16,$BG$21))))),"")))))</f>
        <v>Bajo</v>
      </c>
      <c r="AO872" s="567" t="str">
        <f>IF(AP872="","",IF(AP872=[23]Listas!$F$61,[23]Listas!$G$61,IF(AP872=[23]Listas!$F$63,[23]Listas!$G$63,IF(AP872=[23]Listas!$F$64,[23]Listas!$G$64))))</f>
        <v>No requiere Plan de Acción</v>
      </c>
      <c r="AP872" s="570" t="str">
        <f>IF(AN872="","",IF(OR(AN872=[23]Listas!$E$61,AN872=[23]Listas!$E$62),[23]Listas!$F$61,IF(AN872=[23]Listas!$E$63,[23]Listas!$F$63,IF(AN872=[23]Listas!$E$64,[23]Listas!$F$64))))</f>
        <v>Aceptar  el riesgo</v>
      </c>
      <c r="AQ872" s="342" t="s">
        <v>90</v>
      </c>
      <c r="AR872" s="267" t="s">
        <v>977</v>
      </c>
    </row>
    <row r="873" spans="2:44" ht="83.5" customHeight="1" thickTop="1" thickBot="1" x14ac:dyDescent="0.4">
      <c r="B873" s="537"/>
      <c r="C873" s="560"/>
      <c r="D873" s="610"/>
      <c r="E873" s="577"/>
      <c r="F873" s="646"/>
      <c r="G873" s="663"/>
      <c r="H873" s="666"/>
      <c r="I873" s="589"/>
      <c r="J873" s="589"/>
      <c r="K873" s="592"/>
      <c r="L873" s="589"/>
      <c r="M873" s="595"/>
      <c r="N873" s="598"/>
      <c r="O873" s="601"/>
      <c r="P873" s="595"/>
      <c r="Q873" s="604"/>
      <c r="R873" s="601"/>
      <c r="S873" s="286"/>
      <c r="T873" s="604"/>
      <c r="U873" s="142" t="s">
        <v>174</v>
      </c>
      <c r="V873" s="418" t="s">
        <v>978</v>
      </c>
      <c r="W873" s="319" t="s">
        <v>40</v>
      </c>
      <c r="X873" s="320">
        <f>IF(W873=[23]Listas!$B$46,[23]Listas!$C$46,IF(W873=[23]Listas!$B$47,[23]Listas!$C$47,IF(W873=[23]Listas!$B$48,[23]Listas!$C$48,"")))</f>
        <v>0.25</v>
      </c>
      <c r="Y873" s="321" t="str">
        <f>IF(OR(W873=[23]Listas!$F$53,W873=[23]Listas!$F$54),[23]Listas!$G$53,IF(W873=[23]Listas!$F$55,[23]Listas!$G$55,""))</f>
        <v>Probabilidad</v>
      </c>
      <c r="Z873" s="319" t="s">
        <v>43</v>
      </c>
      <c r="AA873" s="182">
        <f>+IF(Z873=[23]Listas!$E$46,[23]Listas!$F$46,IF(Z873=[23]Listas!$E$47,[23]Listas!$F$47,""))</f>
        <v>0.15</v>
      </c>
      <c r="AB873" s="183">
        <f>IFERROR(X873+AA873,"")</f>
        <v>0.4</v>
      </c>
      <c r="AC873" s="319" t="s">
        <v>57</v>
      </c>
      <c r="AD873" s="322" t="s">
        <v>58</v>
      </c>
      <c r="AE873" s="323" t="s">
        <v>59</v>
      </c>
      <c r="AF873" s="305" t="str">
        <f t="shared" si="128"/>
        <v>Baja</v>
      </c>
      <c r="AG873" s="145">
        <f>IF(Y873=[23]Listas!$G$53,AG872-(AG872*AB873),AG872)</f>
        <v>0.216</v>
      </c>
      <c r="AH873" s="562"/>
      <c r="AI873" s="305" t="str">
        <f t="shared" ref="AI873:AI881" si="134">IF(AJ873="","",IF(AJ873&lt;=20%,"Leve",IF(AJ873&lt;=40%,"Menor",IF(AJ873&lt;=60%,"Moderado",IF(AJ873&lt;=80%,"Mayor","Catastrófico")))))</f>
        <v>Leve</v>
      </c>
      <c r="AJ873" s="145">
        <f>IF(Y873=[23]Listas!$G$55,AJ872-(AJ872*AB873),AJ872)</f>
        <v>0.2</v>
      </c>
      <c r="AK873" s="562"/>
      <c r="AL873" s="565"/>
      <c r="AM873" s="565"/>
      <c r="AN873" s="565"/>
      <c r="AO873" s="568"/>
      <c r="AP873" s="571"/>
      <c r="AQ873" s="343"/>
      <c r="AR873" s="191"/>
    </row>
    <row r="874" spans="2:44" ht="16" hidden="1" customHeight="1" thickTop="1" thickBot="1" x14ac:dyDescent="0.4">
      <c r="B874" s="537"/>
      <c r="C874" s="560"/>
      <c r="D874" s="610"/>
      <c r="E874" s="577"/>
      <c r="F874" s="646"/>
      <c r="G874" s="663"/>
      <c r="H874" s="666"/>
      <c r="I874" s="589"/>
      <c r="J874" s="589"/>
      <c r="K874" s="592"/>
      <c r="L874" s="589"/>
      <c r="M874" s="595"/>
      <c r="N874" s="598"/>
      <c r="O874" s="601"/>
      <c r="P874" s="595"/>
      <c r="Q874" s="604"/>
      <c r="R874" s="601"/>
      <c r="S874" s="287"/>
      <c r="T874" s="604"/>
      <c r="U874" s="142" t="s">
        <v>180</v>
      </c>
      <c r="V874" s="418"/>
      <c r="W874" s="331"/>
      <c r="X874" s="320" t="str">
        <f>IF(W874=[23]Listas!$B$46,[23]Listas!$C$46,IF(W874=[23]Listas!$B$47,[23]Listas!$C$47,IF(W874=[23]Listas!$B$48,[23]Listas!$C$48,"")))</f>
        <v/>
      </c>
      <c r="Y874" s="321" t="str">
        <f>IF(OR(W874=[23]Listas!$F$53,W874=[23]Listas!$F$54),[23]Listas!$G$53,IF(W874=[23]Listas!$F$55,[23]Listas!$G$55,""))</f>
        <v/>
      </c>
      <c r="Z874" s="319"/>
      <c r="AA874" s="182" t="str">
        <f>+IF(Z874=[23]Listas!$E$46,[23]Listas!$F$46,IF(Z874=[23]Listas!$E$47,[23]Listas!$F$47,""))</f>
        <v/>
      </c>
      <c r="AB874" s="183" t="str">
        <f>IFERROR(X874+AA874,"")</f>
        <v/>
      </c>
      <c r="AC874" s="325"/>
      <c r="AD874" s="326"/>
      <c r="AE874" s="327"/>
      <c r="AF874" s="305" t="str">
        <f t="shared" si="128"/>
        <v>Baja</v>
      </c>
      <c r="AG874" s="145">
        <f>IF(Y874=[23]Listas!$G$53,AG873-(AG873*AB874),AG873)</f>
        <v>0.216</v>
      </c>
      <c r="AH874" s="562"/>
      <c r="AI874" s="305" t="str">
        <f t="shared" si="134"/>
        <v>Leve</v>
      </c>
      <c r="AJ874" s="145">
        <f>IF(Y874=[23]Listas!$G$55,AJ873-(AJ873*AB874),AJ873)</f>
        <v>0.2</v>
      </c>
      <c r="AK874" s="562"/>
      <c r="AL874" s="565"/>
      <c r="AM874" s="565"/>
      <c r="AN874" s="565"/>
      <c r="AO874" s="568"/>
      <c r="AP874" s="571"/>
      <c r="AQ874" s="343"/>
      <c r="AR874" s="191"/>
    </row>
    <row r="875" spans="2:44" ht="15.65" hidden="1" customHeight="1" thickTop="1" thickBot="1" x14ac:dyDescent="0.4">
      <c r="B875" s="537"/>
      <c r="C875" s="560"/>
      <c r="D875" s="610"/>
      <c r="E875" s="577"/>
      <c r="F875" s="646"/>
      <c r="G875" s="663"/>
      <c r="H875" s="666"/>
      <c r="I875" s="589"/>
      <c r="J875" s="589"/>
      <c r="K875" s="592"/>
      <c r="L875" s="589"/>
      <c r="M875" s="595"/>
      <c r="N875" s="598"/>
      <c r="O875" s="601"/>
      <c r="P875" s="595"/>
      <c r="Q875" s="604"/>
      <c r="R875" s="601"/>
      <c r="S875" s="287"/>
      <c r="T875" s="604"/>
      <c r="U875" s="142" t="s">
        <v>190</v>
      </c>
      <c r="V875" s="418"/>
      <c r="W875" s="319"/>
      <c r="X875" s="320" t="str">
        <f>IF(W875=[23]Listas!$B$46,[23]Listas!$C$46,IF(W875=[23]Listas!$B$47,[23]Listas!$C$47,IF(W875=[23]Listas!$B$48,[23]Listas!$C$48,"")))</f>
        <v/>
      </c>
      <c r="Y875" s="321" t="str">
        <f>IF(OR(W875=[23]Listas!$F$53,W875=[23]Listas!$F$54),[23]Listas!$G$53,IF(W875=[23]Listas!$F$55,[23]Listas!$G$55,""))</f>
        <v/>
      </c>
      <c r="Z875" s="319"/>
      <c r="AA875" s="182" t="str">
        <f>+IF(Z875=[23]Listas!$E$46,[23]Listas!$F$46,IF(Z875=[23]Listas!$E$47,[23]Listas!$F$47,""))</f>
        <v/>
      </c>
      <c r="AB875" s="183" t="str">
        <f t="shared" ref="AB875:AB881" si="135">IFERROR(X875+AA875,"")</f>
        <v/>
      </c>
      <c r="AC875" s="328"/>
      <c r="AD875" s="329"/>
      <c r="AE875" s="330"/>
      <c r="AF875" s="305" t="str">
        <f t="shared" si="128"/>
        <v>Baja</v>
      </c>
      <c r="AG875" s="145">
        <f>IF(Y875=[23]Listas!$G$53,AG874-(AG874*AB875),AG874)</f>
        <v>0.216</v>
      </c>
      <c r="AH875" s="562"/>
      <c r="AI875" s="305" t="str">
        <f t="shared" si="134"/>
        <v>Leve</v>
      </c>
      <c r="AJ875" s="145">
        <f>IF(Y875=[23]Listas!$G$55,AJ874-(AJ874*AB875),AJ874)</f>
        <v>0.2</v>
      </c>
      <c r="AK875" s="562"/>
      <c r="AL875" s="565"/>
      <c r="AM875" s="565"/>
      <c r="AN875" s="565"/>
      <c r="AO875" s="568"/>
      <c r="AP875" s="571"/>
      <c r="AQ875" s="344"/>
      <c r="AR875" s="191"/>
    </row>
    <row r="876" spans="2:44" ht="14.15" hidden="1" customHeight="1" thickTop="1" thickBot="1" x14ac:dyDescent="0.4">
      <c r="B876" s="537"/>
      <c r="C876" s="560"/>
      <c r="D876" s="610"/>
      <c r="E876" s="577"/>
      <c r="F876" s="646"/>
      <c r="G876" s="663"/>
      <c r="H876" s="666"/>
      <c r="I876" s="589"/>
      <c r="J876" s="589"/>
      <c r="K876" s="592"/>
      <c r="L876" s="589"/>
      <c r="M876" s="595"/>
      <c r="N876" s="598"/>
      <c r="O876" s="601"/>
      <c r="P876" s="595"/>
      <c r="Q876" s="604"/>
      <c r="R876" s="601"/>
      <c r="S876" s="287"/>
      <c r="T876" s="604"/>
      <c r="U876" s="142" t="s">
        <v>198</v>
      </c>
      <c r="V876" s="418"/>
      <c r="W876" s="331"/>
      <c r="X876" s="320" t="str">
        <f>IF(W876=[23]Listas!$B$46,[23]Listas!$C$46,IF(W876=[23]Listas!$B$47,[23]Listas!$C$47,IF(W876=[23]Listas!$B$48,[23]Listas!$C$48,"")))</f>
        <v/>
      </c>
      <c r="Y876" s="321" t="str">
        <f>IF(OR(W876=[23]Listas!$F$53,W876=[23]Listas!$F$54),[23]Listas!$G$53,IF(W876=[23]Listas!$F$55,[23]Listas!$G$55,""))</f>
        <v/>
      </c>
      <c r="Z876" s="331"/>
      <c r="AA876" s="182" t="str">
        <f>+IF(Z876=[23]Listas!$E$46,[23]Listas!$F$46,IF(Z876=[23]Listas!$E$47,[23]Listas!$F$47,""))</f>
        <v/>
      </c>
      <c r="AB876" s="183" t="str">
        <f t="shared" si="135"/>
        <v/>
      </c>
      <c r="AC876" s="319"/>
      <c r="AD876" s="322"/>
      <c r="AE876" s="323"/>
      <c r="AF876" s="305" t="str">
        <f t="shared" si="128"/>
        <v>Baja</v>
      </c>
      <c r="AG876" s="145">
        <f>IF(Y876=[23]Listas!$G$53,AG875-(AG875*AB876),AG875)</f>
        <v>0.216</v>
      </c>
      <c r="AH876" s="562"/>
      <c r="AI876" s="305" t="str">
        <f t="shared" si="134"/>
        <v>Leve</v>
      </c>
      <c r="AJ876" s="145">
        <f>IF(Y876=[23]Listas!$G$55,AJ875-(AJ875*AB876),AJ875)</f>
        <v>0.2</v>
      </c>
      <c r="AK876" s="562"/>
      <c r="AL876" s="565"/>
      <c r="AM876" s="565"/>
      <c r="AN876" s="565"/>
      <c r="AO876" s="568"/>
      <c r="AP876" s="571"/>
      <c r="AQ876" s="345"/>
      <c r="AR876" s="191"/>
    </row>
    <row r="877" spans="2:44" ht="14.5" hidden="1" customHeight="1" thickTop="1" thickBot="1" x14ac:dyDescent="0.4">
      <c r="B877" s="537"/>
      <c r="C877" s="560"/>
      <c r="D877" s="610"/>
      <c r="E877" s="577"/>
      <c r="F877" s="646"/>
      <c r="G877" s="663"/>
      <c r="H877" s="666"/>
      <c r="I877" s="589"/>
      <c r="J877" s="589"/>
      <c r="K877" s="592"/>
      <c r="L877" s="589"/>
      <c r="M877" s="595"/>
      <c r="N877" s="598"/>
      <c r="O877" s="601"/>
      <c r="P877" s="595"/>
      <c r="Q877" s="604"/>
      <c r="R877" s="601"/>
      <c r="S877" s="288"/>
      <c r="T877" s="604"/>
      <c r="U877" s="142" t="s">
        <v>208</v>
      </c>
      <c r="V877" s="418"/>
      <c r="W877" s="331"/>
      <c r="X877" s="320" t="str">
        <f>IF(W877=[23]Listas!$B$46,[23]Listas!$C$46,IF(W877=[23]Listas!$B$47,[23]Listas!$C$47,IF(W877=[23]Listas!$B$48,[23]Listas!$C$48,"")))</f>
        <v/>
      </c>
      <c r="Y877" s="321" t="str">
        <f>IF(OR(W877=[23]Listas!$F$53,W877=[23]Listas!$F$54),[23]Listas!$G$53,IF(W877=[23]Listas!$F$55,[23]Listas!$G$55,""))</f>
        <v/>
      </c>
      <c r="Z877" s="331"/>
      <c r="AA877" s="182" t="str">
        <f>+IF(Z877=[23]Listas!$E$46,[23]Listas!$F$46,IF(Z877=[23]Listas!$E$47,[23]Listas!$F$47,""))</f>
        <v/>
      </c>
      <c r="AB877" s="183" t="str">
        <f t="shared" si="135"/>
        <v/>
      </c>
      <c r="AC877" s="319"/>
      <c r="AD877" s="322"/>
      <c r="AE877" s="323"/>
      <c r="AF877" s="305" t="str">
        <f t="shared" si="128"/>
        <v>Baja</v>
      </c>
      <c r="AG877" s="145">
        <f>IF(Y877=[23]Listas!$G$53,AG876-(AG876*AB877),AG876)</f>
        <v>0.216</v>
      </c>
      <c r="AH877" s="562"/>
      <c r="AI877" s="305" t="str">
        <f t="shared" si="134"/>
        <v>Leve</v>
      </c>
      <c r="AJ877" s="145">
        <f>IF(Y877=[23]Listas!$G$55,AJ876-(AJ876*AB877),AJ876)</f>
        <v>0.2</v>
      </c>
      <c r="AK877" s="562"/>
      <c r="AL877" s="565"/>
      <c r="AM877" s="565"/>
      <c r="AN877" s="565"/>
      <c r="AO877" s="568"/>
      <c r="AP877" s="571"/>
      <c r="AQ877" s="343"/>
      <c r="AR877" s="191"/>
    </row>
    <row r="878" spans="2:44" ht="14.15" hidden="1" customHeight="1" thickTop="1" thickBot="1" x14ac:dyDescent="0.4">
      <c r="B878" s="537"/>
      <c r="C878" s="560"/>
      <c r="D878" s="610"/>
      <c r="E878" s="577"/>
      <c r="F878" s="646"/>
      <c r="G878" s="663"/>
      <c r="H878" s="666"/>
      <c r="I878" s="589"/>
      <c r="J878" s="589"/>
      <c r="K878" s="592"/>
      <c r="L878" s="589"/>
      <c r="M878" s="595"/>
      <c r="N878" s="598"/>
      <c r="O878" s="601"/>
      <c r="P878" s="595"/>
      <c r="Q878" s="604"/>
      <c r="R878" s="601"/>
      <c r="S878" s="289"/>
      <c r="T878" s="604"/>
      <c r="U878" s="142" t="s">
        <v>215</v>
      </c>
      <c r="V878" s="418"/>
      <c r="W878" s="331"/>
      <c r="X878" s="320" t="str">
        <f>IF(W878=[23]Listas!$B$46,[23]Listas!$C$46,IF(W878=[23]Listas!$B$47,[23]Listas!$C$47,IF(W878=[23]Listas!$B$48,[23]Listas!$C$48,"")))</f>
        <v/>
      </c>
      <c r="Y878" s="321" t="str">
        <f>IF(OR(W878=[23]Listas!$F$53,W878=[23]Listas!$F$54),[23]Listas!$G$53,IF(W878=[23]Listas!$F$55,[23]Listas!$G$55,""))</f>
        <v/>
      </c>
      <c r="Z878" s="331"/>
      <c r="AA878" s="182" t="str">
        <f>+IF(Z878=[23]Listas!$E$46,[23]Listas!$F$46,IF(Z878=[23]Listas!$E$47,[23]Listas!$F$47,""))</f>
        <v/>
      </c>
      <c r="AB878" s="183" t="str">
        <f t="shared" si="135"/>
        <v/>
      </c>
      <c r="AC878" s="319"/>
      <c r="AD878" s="322"/>
      <c r="AE878" s="323"/>
      <c r="AF878" s="305" t="str">
        <f t="shared" si="128"/>
        <v>Baja</v>
      </c>
      <c r="AG878" s="145">
        <f>IF(Y878=[23]Listas!$G$53,AG877-(AG877*AB878),AG877)</f>
        <v>0.216</v>
      </c>
      <c r="AH878" s="562"/>
      <c r="AI878" s="305" t="str">
        <f t="shared" si="134"/>
        <v>Leve</v>
      </c>
      <c r="AJ878" s="145">
        <f>IF(Y878=[23]Listas!$G$55,AJ877-(AJ877*AB878),AJ877)</f>
        <v>0.2</v>
      </c>
      <c r="AK878" s="562"/>
      <c r="AL878" s="565"/>
      <c r="AM878" s="565"/>
      <c r="AN878" s="565"/>
      <c r="AO878" s="568"/>
      <c r="AP878" s="571"/>
      <c r="AQ878" s="343"/>
      <c r="AR878" s="191"/>
    </row>
    <row r="879" spans="2:44" ht="14.15" hidden="1" customHeight="1" thickTop="1" thickBot="1" x14ac:dyDescent="0.4">
      <c r="B879" s="537"/>
      <c r="C879" s="560"/>
      <c r="D879" s="610"/>
      <c r="E879" s="577"/>
      <c r="F879" s="646"/>
      <c r="G879" s="663"/>
      <c r="H879" s="666"/>
      <c r="I879" s="589"/>
      <c r="J879" s="589"/>
      <c r="K879" s="592"/>
      <c r="L879" s="589"/>
      <c r="M879" s="595"/>
      <c r="N879" s="598"/>
      <c r="O879" s="601"/>
      <c r="P879" s="595"/>
      <c r="Q879" s="604"/>
      <c r="R879" s="601"/>
      <c r="S879" s="289"/>
      <c r="T879" s="604"/>
      <c r="U879" s="142" t="s">
        <v>220</v>
      </c>
      <c r="V879" s="418"/>
      <c r="W879" s="331"/>
      <c r="X879" s="320" t="str">
        <f>IF(W879=[23]Listas!$B$46,[23]Listas!$C$46,IF(W879=[23]Listas!$B$47,[23]Listas!$C$47,IF(W879=[23]Listas!$B$48,[23]Listas!$C$48,"")))</f>
        <v/>
      </c>
      <c r="Y879" s="321" t="str">
        <f>IF(OR(W879=[23]Listas!$F$53,W879=[23]Listas!$F$54),[23]Listas!$G$53,IF(W879=[23]Listas!$F$55,[23]Listas!$G$55,""))</f>
        <v/>
      </c>
      <c r="Z879" s="331"/>
      <c r="AA879" s="182" t="str">
        <f>+IF(Z879=[23]Listas!$E$46,[23]Listas!$F$46,IF(Z879=[23]Listas!$E$47,[23]Listas!$F$47,""))</f>
        <v/>
      </c>
      <c r="AB879" s="183" t="str">
        <f t="shared" si="135"/>
        <v/>
      </c>
      <c r="AC879" s="319"/>
      <c r="AD879" s="322"/>
      <c r="AE879" s="323"/>
      <c r="AF879" s="305" t="str">
        <f t="shared" si="128"/>
        <v>Baja</v>
      </c>
      <c r="AG879" s="145">
        <f>IF(Y879=[23]Listas!$G$53,AG878-(AG878*AB879),AG878)</f>
        <v>0.216</v>
      </c>
      <c r="AH879" s="562"/>
      <c r="AI879" s="305" t="str">
        <f t="shared" si="134"/>
        <v>Leve</v>
      </c>
      <c r="AJ879" s="145">
        <f>IF(Y879=[23]Listas!$G$55,AJ878-(AJ878*AB879),AJ878)</f>
        <v>0.2</v>
      </c>
      <c r="AK879" s="562"/>
      <c r="AL879" s="565"/>
      <c r="AM879" s="565"/>
      <c r="AN879" s="565"/>
      <c r="AO879" s="568"/>
      <c r="AP879" s="571"/>
      <c r="AQ879" s="343"/>
      <c r="AR879" s="191"/>
    </row>
    <row r="880" spans="2:44" ht="14.15" hidden="1" customHeight="1" thickTop="1" thickBot="1" x14ac:dyDescent="0.4">
      <c r="B880" s="537"/>
      <c r="C880" s="560"/>
      <c r="D880" s="610"/>
      <c r="E880" s="577"/>
      <c r="F880" s="646"/>
      <c r="G880" s="663"/>
      <c r="H880" s="666"/>
      <c r="I880" s="589"/>
      <c r="J880" s="589"/>
      <c r="K880" s="592"/>
      <c r="L880" s="589"/>
      <c r="M880" s="595"/>
      <c r="N880" s="598"/>
      <c r="O880" s="601"/>
      <c r="P880" s="595"/>
      <c r="Q880" s="604"/>
      <c r="R880" s="601"/>
      <c r="S880" s="289"/>
      <c r="T880" s="604"/>
      <c r="U880" s="142" t="s">
        <v>223</v>
      </c>
      <c r="V880" s="418"/>
      <c r="W880" s="331"/>
      <c r="X880" s="320" t="str">
        <f>IF(W880=[23]Listas!$B$46,[23]Listas!$C$46,IF(W880=[23]Listas!$B$47,[23]Listas!$C$47,IF(W880=[23]Listas!$B$48,[23]Listas!$C$48,"")))</f>
        <v/>
      </c>
      <c r="Y880" s="321" t="str">
        <f>IF(OR(W880=[23]Listas!$F$53,W880=[23]Listas!$F$54),[23]Listas!$G$53,IF(W880=[23]Listas!$F$55,[23]Listas!$G$55,""))</f>
        <v/>
      </c>
      <c r="Z880" s="331"/>
      <c r="AA880" s="182" t="str">
        <f>+IF(Z880=[23]Listas!$E$46,[23]Listas!$F$46,IF(Z880=[23]Listas!$E$47,[23]Listas!$F$47,""))</f>
        <v/>
      </c>
      <c r="AB880" s="183" t="str">
        <f t="shared" si="135"/>
        <v/>
      </c>
      <c r="AC880" s="319"/>
      <c r="AD880" s="322"/>
      <c r="AE880" s="323"/>
      <c r="AF880" s="305" t="str">
        <f t="shared" si="128"/>
        <v>Baja</v>
      </c>
      <c r="AG880" s="145">
        <f>IF(Y880=[23]Listas!$G$53,AG879-(AG879*AB880),AG879)</f>
        <v>0.216</v>
      </c>
      <c r="AH880" s="562"/>
      <c r="AI880" s="305" t="str">
        <f t="shared" si="134"/>
        <v>Leve</v>
      </c>
      <c r="AJ880" s="145">
        <f>IF(Y880=[23]Listas!$G$55,AJ879-(AJ879*AB880),AJ879)</f>
        <v>0.2</v>
      </c>
      <c r="AK880" s="562"/>
      <c r="AL880" s="565"/>
      <c r="AM880" s="565"/>
      <c r="AN880" s="565"/>
      <c r="AO880" s="568"/>
      <c r="AP880" s="571"/>
      <c r="AQ880" s="343"/>
      <c r="AR880" s="191"/>
    </row>
    <row r="881" spans="2:44" ht="14.5" hidden="1" customHeight="1" thickTop="1" thickBot="1" x14ac:dyDescent="0.4">
      <c r="B881" s="537"/>
      <c r="C881" s="560"/>
      <c r="D881" s="611"/>
      <c r="E881" s="578"/>
      <c r="F881" s="647"/>
      <c r="G881" s="664"/>
      <c r="H881" s="667"/>
      <c r="I881" s="590"/>
      <c r="J881" s="590"/>
      <c r="K881" s="593"/>
      <c r="L881" s="590"/>
      <c r="M881" s="596"/>
      <c r="N881" s="599"/>
      <c r="O881" s="602"/>
      <c r="P881" s="596"/>
      <c r="Q881" s="605"/>
      <c r="R881" s="602"/>
      <c r="S881" s="293"/>
      <c r="T881" s="605"/>
      <c r="U881" s="202" t="s">
        <v>224</v>
      </c>
      <c r="V881" s="416"/>
      <c r="W881" s="335"/>
      <c r="X881" s="336" t="str">
        <f>IF(W881=[23]Listas!$B$46,[23]Listas!$C$46,IF(W881=[23]Listas!$B$47,[23]Listas!$C$47,IF(W881=[23]Listas!$B$48,[23]Listas!$C$48,"")))</f>
        <v/>
      </c>
      <c r="Y881" s="337" t="str">
        <f>IF(OR(W881=[23]Listas!$F$53,W881=[23]Listas!$F$54),[23]Listas!$G$53,IF(W881=[23]Listas!$F$55,[23]Listas!$G$55,""))</f>
        <v/>
      </c>
      <c r="Z881" s="335"/>
      <c r="AA881" s="186" t="str">
        <f>+IF(Z881=[23]Listas!$E$46,[23]Listas!$F$46,IF(Z881=[23]Listas!$E$47,[23]Listas!$F$47,""))</f>
        <v/>
      </c>
      <c r="AB881" s="187" t="str">
        <f t="shared" si="135"/>
        <v/>
      </c>
      <c r="AC881" s="338"/>
      <c r="AD881" s="339"/>
      <c r="AE881" s="340"/>
      <c r="AF881" s="311" t="str">
        <f t="shared" si="128"/>
        <v>Baja</v>
      </c>
      <c r="AG881" s="179">
        <f>IF(Y881=[23]Listas!$G$53,AG880-(AG880*AB881),AG880)</f>
        <v>0.216</v>
      </c>
      <c r="AH881" s="563"/>
      <c r="AI881" s="311" t="str">
        <f t="shared" si="134"/>
        <v>Leve</v>
      </c>
      <c r="AJ881" s="179">
        <f>IF(Y881=[23]Listas!$G$55,AJ880-(AJ880*AB881),AJ880)</f>
        <v>0.2</v>
      </c>
      <c r="AK881" s="563"/>
      <c r="AL881" s="566"/>
      <c r="AM881" s="566"/>
      <c r="AN881" s="566"/>
      <c r="AO881" s="569"/>
      <c r="AP881" s="572"/>
      <c r="AQ881" s="359"/>
      <c r="AR881" s="192"/>
    </row>
    <row r="882" spans="2:44" ht="211" thickTop="1" thickBot="1" x14ac:dyDescent="0.4">
      <c r="B882" s="537"/>
      <c r="C882" s="560" t="s">
        <v>112</v>
      </c>
      <c r="D882" s="573" t="s">
        <v>979</v>
      </c>
      <c r="E882" s="576" t="s">
        <v>4</v>
      </c>
      <c r="F882" s="624" t="s">
        <v>980</v>
      </c>
      <c r="G882" s="627" t="s">
        <v>981</v>
      </c>
      <c r="H882" s="627" t="s">
        <v>982</v>
      </c>
      <c r="I882" s="588" t="s">
        <v>28</v>
      </c>
      <c r="J882" s="588" t="s">
        <v>22</v>
      </c>
      <c r="K882" s="591" t="s">
        <v>983</v>
      </c>
      <c r="L882" s="588" t="s">
        <v>168</v>
      </c>
      <c r="M882" s="594" t="s">
        <v>207</v>
      </c>
      <c r="N882" s="597" t="str">
        <f>+IF(M882="","",IF(M882=$BO$15,$BN$15,IF(M882=$BO$16,$BN$16,IF(M882=$BO$17,$BN$17,IF(M882=$BO$18,$BN$18,IF(M882=$BO$19,$BN$19))))))</f>
        <v>Baja</v>
      </c>
      <c r="O882" s="600">
        <f>+IF(M882="","",IF(M882=$BO$15,$BR$15,IF(M882=$BO$16,$BR$16,IF(M882=$BO$17,$BR$17,IF(M882=$BO$18,$BR$18,IF(M882=$BO$19,$BR$19))))))</f>
        <v>0.4</v>
      </c>
      <c r="P882" s="594" t="s">
        <v>212</v>
      </c>
      <c r="Q882" s="603" t="str">
        <f>+IF(P882="","",IF(P882='[24]Mapa de Calor inherente'!$AF$6,'[24]Mapa de Calor inherente'!$AD$6,IF(P882='[24]Mapa de Calor inherente'!$AF$7,'[24]Mapa de Calor inherente'!$AD$7,IF(P882='[24]Mapa de Calor inherente'!$AF$8,'[24]Mapa de Calor inherente'!$AD$8,IF(P882='[24]Mapa de Calor inherente'!$AF$9,'[24]Mapa de Calor inherente'!$AD$9,IF(P882='[24]Mapa de Calor inherente'!$AF$10,'[24]Mapa de Calor inherente'!$AD$10,IF(P882='[24]Mapa de Calor inherente'!$AG$6,'[24]Mapa de Calor inherente'!$AD$6,IF(P882='[24]Mapa de Calor inherente'!$AG$7,'[24]Mapa de Calor inherente'!$AD$7,IF(P882='[24]Mapa de Calor inherente'!$AG$8,'[24]Mapa de Calor inherente'!$AD$8,IF(P882='[24]Mapa de Calor inherente'!$AG$9,'[24]Mapa de Calor inherente'!$AD$9,IF(P882='[24]Mapa de Calor inherente'!$AG$10,'[24]Mapa de Calor inherente'!$AD$10,IF(P882='[24]Mapa de Calor inherente'!$AD$8,'[24]Mapa de Calor inherente'!$AD$8,IF(P882='[24]Mapa de Calor inherente'!$AD$9,'[24]Mapa de Calor inherente'!$AD$9,IF(P882='[24]Mapa de Calor inherente'!$AD$10,'[24]Mapa de Calor inherente'!$AD$10))))))))))))))</f>
        <v>Moderado</v>
      </c>
      <c r="R882" s="600">
        <f>+IF(P882="","",IF(P882='[24]Mapa de Calor inherente'!$AF$6,'[24]Mapa de Calor inherente'!$AE$6,IF(P882='[24]Mapa de Calor inherente'!$AF$7,'[24]Mapa de Calor inherente'!$AE$7,IF(P882='[24]Mapa de Calor inherente'!$AF$8,'[24]Mapa de Calor inherente'!$AE$8,IF(P882='[24]Mapa de Calor inherente'!$AF$9,'[24]Mapa de Calor inherente'!$AE$9,IF(P882='[24]Mapa de Calor inherente'!$AF$10,'[24]Mapa de Calor inherente'!$AE$10,IF(P882='[24]Mapa de Calor inherente'!$AG$6,'[24]Mapa de Calor inherente'!$AE$6,IF(P882='[24]Mapa de Calor inherente'!$AG$7,'[24]Mapa de Calor inherente'!$AE$7,IF(P882='[24]Mapa de Calor inherente'!$AG$8,'[24]Mapa de Calor inherente'!$AE$8,IF(P882='[24]Mapa de Calor inherente'!$AG$9,'[24]Mapa de Calor inherente'!$AE$9,IF(P882='[24]Mapa de Calor inherente'!$AG$10,'[24]Mapa de Calor inherente'!$AE$10,IF(P882='[24]Mapa de Calor inherente'!$AD$8,'[24]Mapa de Calor inherente'!$AE$8,IF(P882='[24]Mapa de Calor inherente'!$AD$9,'[24]Mapa de Calor inherente'!$AE$9,IF(P882='[24]Mapa de Calor inherente'!$AD$10,'[24]Mapa de Calor inherente'!$AE$10))))))))))))))</f>
        <v>0.6</v>
      </c>
      <c r="S882" s="292"/>
      <c r="T882" s="606" t="str">
        <f>+IF(N882=$BB$17,IF(Q882=$BC$16,$BC$17,IF(Q882=$BD$16,$BD$17,IF(Q882=$BE$16,$BE$17,IF(Q882=$BF$16,$BF$17,IF(Q882=$BG$16,$BG$17))))),IF(N882=$BB$18,IF(Q882=$BC$16,$BC$18,IF(Q882=$BD$16,$BD$18,IF(Q882=$BE$16,$BE$18,IF(Q882=$BF$16,$BF$18,IF(Q882=$BG$16,$BG$18))))),IF(N882=$BB$19,IF(Q882=$BC$16,$BC$19,IF(Q882=$BD$16,$BD$19,IF(Q882=$BE$16,$BE$19,IF(Q882=$BF$16,$BF$19,IF(Q882=$BG$16,$BG$19))))),IF(N882=$BB$20,IF(Q882=$BC$16,$BC$20,IF(Q882=$BD$16,$BD$20,IF(Q882=$BE$16,$BE$20,IF(Q882=$BF$16,$BF$20,IF(Q882=$BG$16,$BG$20))))),IF(N882=$BB$21,IF(Q882=$BC$16,$BC$21,IF(Q882=$BD$16,$BD$21,IF(Q882=$BE$16,$BE$21,IF(Q882=$BF$16,$BF$21,IF(Q882=$BG$16,$BG$21))))),"")))))</f>
        <v>Moderado</v>
      </c>
      <c r="U882" s="139" t="s">
        <v>171</v>
      </c>
      <c r="V882" s="514" t="s">
        <v>984</v>
      </c>
      <c r="W882" s="313" t="s">
        <v>42</v>
      </c>
      <c r="X882" s="314">
        <f>IF(W882=[24]Listas!$B$46,[24]Listas!$C$46,IF(W882=[24]Listas!$B$47,[24]Listas!$C$47,IF(W882=[24]Listas!$B$48,[24]Listas!$C$48,"")))</f>
        <v>0.15</v>
      </c>
      <c r="Y882" s="315" t="str">
        <f>IF(OR(W882=[24]Listas!$F$53,W882=[24]Listas!$F$54),[24]Listas!$G$53,IF(W882=[24]Listas!$F$55,[24]Listas!$G$55,""))</f>
        <v>Probabilidad</v>
      </c>
      <c r="Z882" s="313" t="s">
        <v>43</v>
      </c>
      <c r="AA882" s="314">
        <f>+IF(Z882=[24]Listas!$E$46,[24]Listas!$F$46,IF(Z882=[24]Listas!$E$47,[24]Listas!$F$47,""))</f>
        <v>0.15</v>
      </c>
      <c r="AB882" s="181">
        <f>IFERROR(X882+AA882,"")</f>
        <v>0.3</v>
      </c>
      <c r="AC882" s="313" t="s">
        <v>57</v>
      </c>
      <c r="AD882" s="316" t="s">
        <v>58</v>
      </c>
      <c r="AE882" s="317" t="s">
        <v>59</v>
      </c>
      <c r="AF882" s="299" t="str">
        <f t="shared" si="128"/>
        <v>Baja</v>
      </c>
      <c r="AG882" s="141">
        <f>IF(Y882=[24]Listas!$G$53,O882-(O882*AB882),O882)</f>
        <v>0.28000000000000003</v>
      </c>
      <c r="AH882" s="561">
        <f>+IF(AG891="","",AG891)</f>
        <v>0.19600000000000001</v>
      </c>
      <c r="AI882" s="299" t="str">
        <f>IF(AJ882="","",IF(AJ882&lt;=20%,"Leve",IF(AJ882&lt;=40%,"Menor",IF(AJ882&lt;=60%,"Moderado",IF(AJ882&lt;=80%,"Mayor","Catastrófico")))))</f>
        <v>Moderado</v>
      </c>
      <c r="AJ882" s="141">
        <f>IF(Y882=[24]Listas!$G$55,R882-(R882*AB882),R882)</f>
        <v>0.6</v>
      </c>
      <c r="AK882" s="561">
        <f>+IF(AJ891="","",AJ891)</f>
        <v>0.6</v>
      </c>
      <c r="AL882" s="564" t="str">
        <f>+IF(AH882=0,"",IF(AH882&lt;=$BA$21,$BB$21,IF(AH882&lt;=$BA$20,$BB$20,IF(AH882&lt;=$BA$19,$BB$19,IF(AH882&lt;=$BA$18,$BB$18,IF(AH882&lt;=$BA$17,$BB$17,""))))))</f>
        <v>Muy Baja</v>
      </c>
      <c r="AM882" s="564" t="str">
        <f>+IF(AK882=0,"",IF(AK882&lt;=$BC$15,$BC$16,IF(AK882&lt;=$BD$15,$BD$16,IF(AK882&lt;=$BE$15,$BE$16,IF(AK882&lt;=$BF$15,$BF$16,IF(AK882&lt;=$BG$15,$BG$16,""))))))</f>
        <v>Moderado</v>
      </c>
      <c r="AN882" s="564" t="str">
        <f>IF(AL882=$BB$17,IF(AM882=$BC$16,$BC$17,IF(AM882=$BD$16,$BD$17,IF(AM882=$BE$16,$BE$17,IF(AM882=$BF$16,$BF$17,IF(AM882=$BG$16,$BG$17))))),IF(AL882=$BB$18,IF(AM882=$BC$16,$BC$18,IF(AM882=$BD$16,$BD$18,IF(AM882=$BE$16,$BE$18,IF(AM882=$BF$16,$BF$18,IF(AM882=$BG$16,$BG$18))))),IF(AL882=$BB$19,IF(AM882=$BC$16,$BC$19,IF(AM882=$BD$16,$BD$19,IF(AM882=$BE$16,$BE$19,IF(AM882=$BF$16,$BF$19,IF(AM882=$BG$16,$BG$19))))),IF(AL882=$BB$20,IF(AM882=$BC$16,$BC$20,IF(AM882=$BD$16,$BD$20,IF(AM882=$BE$16,$BE$20,IF(AM882=$BF$16,$BF$20,IF(AM882=$BG$16,$BG$20))))),IF(AL882=$BB$21,IF(AM882=$BC$16,$BC$21,IF(AM882=$BD$16,$BD$21,IF(AM882=$BE$16,$BE$21,IF(AM882=$BF$16,$BF$21,IF(AM882=$BG$16,$BG$21))))),"")))))</f>
        <v>Moderado</v>
      </c>
      <c r="AO882" s="567" t="str">
        <f>IF(AP882="","",IF(AP882=[24]Listas!$F$61,[24]Listas!$G$61,IF(AP882=[24]Listas!$F$63,[24]Listas!$G$63,IF(AP882=[24]Listas!$F$64,[24]Listas!$G$64))))</f>
        <v>Requiere Plan de Acción</v>
      </c>
      <c r="AP882" s="570" t="str">
        <f>IF(AN882="","",IF(OR(AN882=[24]Listas!$E$61,AN882=[24]Listas!$E$62),[24]Listas!$F$61,IF(AN882=[24]Listas!$E$63,[24]Listas!$F$63,IF(AN882=[24]Listas!$E$64,[24]Listas!$F$64))))</f>
        <v>Aceptar o reducir el riesgo</v>
      </c>
      <c r="AQ882" s="318" t="s">
        <v>80</v>
      </c>
      <c r="AR882" s="269" t="s">
        <v>985</v>
      </c>
    </row>
    <row r="883" spans="2:44" ht="208" customHeight="1" thickTop="1" thickBot="1" x14ac:dyDescent="0.4">
      <c r="B883" s="537"/>
      <c r="C883" s="560"/>
      <c r="D883" s="574"/>
      <c r="E883" s="577"/>
      <c r="F883" s="625"/>
      <c r="G883" s="628"/>
      <c r="H883" s="628"/>
      <c r="I883" s="589"/>
      <c r="J883" s="589"/>
      <c r="K883" s="592"/>
      <c r="L883" s="589"/>
      <c r="M883" s="595"/>
      <c r="N883" s="598"/>
      <c r="O883" s="601"/>
      <c r="P883" s="595"/>
      <c r="Q883" s="604"/>
      <c r="R883" s="601"/>
      <c r="S883" s="286"/>
      <c r="T883" s="607"/>
      <c r="U883" s="142" t="s">
        <v>174</v>
      </c>
      <c r="V883" s="515" t="s">
        <v>986</v>
      </c>
      <c r="W883" s="319" t="s">
        <v>42</v>
      </c>
      <c r="X883" s="320">
        <f>IF(W883=[24]Listas!$B$46,[24]Listas!$C$46,IF(W883=[24]Listas!$B$47,[24]Listas!$C$47,IF(W883=[24]Listas!$B$48,[24]Listas!$C$48,"")))</f>
        <v>0.15</v>
      </c>
      <c r="Y883" s="321" t="str">
        <f>IF(OR(W883=[24]Listas!$F$53,W883=[24]Listas!$F$54),[24]Listas!$G$53,IF(W883=[24]Listas!$F$55,[24]Listas!$G$55,""))</f>
        <v>Probabilidad</v>
      </c>
      <c r="Z883" s="319" t="s">
        <v>43</v>
      </c>
      <c r="AA883" s="182">
        <f>+IF(Z883=[24]Listas!$E$46,[24]Listas!$F$46,IF(Z883=[24]Listas!$E$47,[24]Listas!$F$47,""))</f>
        <v>0.15</v>
      </c>
      <c r="AB883" s="183">
        <f>IFERROR(X883+AA883,"")</f>
        <v>0.3</v>
      </c>
      <c r="AC883" s="319" t="s">
        <v>57</v>
      </c>
      <c r="AD883" s="322" t="s">
        <v>58</v>
      </c>
      <c r="AE883" s="323" t="s">
        <v>59</v>
      </c>
      <c r="AF883" s="305" t="str">
        <f t="shared" si="128"/>
        <v>Muy baja</v>
      </c>
      <c r="AG883" s="145">
        <f>IF(Y883=[24]Listas!$G$53,AG882-(AG882*AB883),AG882)</f>
        <v>0.19600000000000001</v>
      </c>
      <c r="AH883" s="562"/>
      <c r="AI883" s="305" t="str">
        <f t="shared" ref="AI883:AI941" si="136">IF(AJ883="","",IF(AJ883&lt;=20%,"Leve",IF(AJ883&lt;=40%,"Menor",IF(AJ883&lt;=60%,"Moderado",IF(AJ883&lt;=80%,"Mayor","Catastrófico")))))</f>
        <v>Moderado</v>
      </c>
      <c r="AJ883" s="145">
        <f>IF(Y883=[24]Listas!$G$55,AJ882-(AJ882*AB883),AJ882)</f>
        <v>0.6</v>
      </c>
      <c r="AK883" s="562"/>
      <c r="AL883" s="565"/>
      <c r="AM883" s="565"/>
      <c r="AN883" s="565"/>
      <c r="AO883" s="568"/>
      <c r="AP883" s="571"/>
      <c r="AQ883" s="324" t="s">
        <v>90</v>
      </c>
      <c r="AR883" s="270" t="s">
        <v>987</v>
      </c>
    </row>
    <row r="884" spans="2:44" hidden="1" x14ac:dyDescent="0.35">
      <c r="B884" s="537"/>
      <c r="C884" s="560"/>
      <c r="D884" s="574"/>
      <c r="E884" s="577"/>
      <c r="F884" s="625"/>
      <c r="G884" s="628"/>
      <c r="H884" s="628"/>
      <c r="I884" s="589"/>
      <c r="J884" s="589"/>
      <c r="K884" s="592"/>
      <c r="L884" s="589"/>
      <c r="M884" s="595"/>
      <c r="N884" s="598"/>
      <c r="O884" s="601"/>
      <c r="P884" s="595"/>
      <c r="Q884" s="604"/>
      <c r="R884" s="601"/>
      <c r="S884" s="287"/>
      <c r="T884" s="607"/>
      <c r="U884" s="142" t="s">
        <v>180</v>
      </c>
      <c r="V884" s="458"/>
      <c r="W884" s="319"/>
      <c r="X884" s="320" t="str">
        <f>IF(W884=[24]Listas!$B$46,[24]Listas!$C$46,IF(W884=[24]Listas!$B$47,[24]Listas!$C$47,IF(W884=[24]Listas!$B$48,[24]Listas!$C$48,"")))</f>
        <v/>
      </c>
      <c r="Y884" s="321" t="str">
        <f>IF(OR(W884=[24]Listas!$F$53,W884=[24]Listas!$F$54),[24]Listas!$G$53,IF(W884=[24]Listas!$F$55,[24]Listas!$G$55,""))</f>
        <v/>
      </c>
      <c r="Z884" s="319"/>
      <c r="AA884" s="182" t="str">
        <f>+IF(Z884=[24]Listas!$E$46,[24]Listas!$F$46,IF(Z884=[24]Listas!$E$47,[24]Listas!$F$47,""))</f>
        <v/>
      </c>
      <c r="AB884" s="183" t="str">
        <f>IFERROR(X884+AA884,"")</f>
        <v/>
      </c>
      <c r="AC884" s="325"/>
      <c r="AD884" s="326"/>
      <c r="AE884" s="327"/>
      <c r="AF884" s="305" t="str">
        <f t="shared" si="128"/>
        <v>Muy baja</v>
      </c>
      <c r="AG884" s="145">
        <f>IF(Y884=[24]Listas!$G$53,AG883-(AG883*AB884),AG883)</f>
        <v>0.19600000000000001</v>
      </c>
      <c r="AH884" s="562"/>
      <c r="AI884" s="305" t="str">
        <f t="shared" si="136"/>
        <v>Moderado</v>
      </c>
      <c r="AJ884" s="145">
        <f>IF(Y884=[24]Listas!$G$55,AJ883-(AJ883*AB884),AJ883)</f>
        <v>0.6</v>
      </c>
      <c r="AK884" s="562"/>
      <c r="AL884" s="565"/>
      <c r="AM884" s="565"/>
      <c r="AN884" s="565"/>
      <c r="AO884" s="568"/>
      <c r="AP884" s="571"/>
      <c r="AQ884" s="324"/>
      <c r="AR884" s="270"/>
    </row>
    <row r="885" spans="2:44" ht="15" hidden="1" customHeight="1" x14ac:dyDescent="0.35">
      <c r="B885" s="537"/>
      <c r="C885" s="560"/>
      <c r="D885" s="574"/>
      <c r="E885" s="577"/>
      <c r="F885" s="625"/>
      <c r="G885" s="628"/>
      <c r="H885" s="628"/>
      <c r="I885" s="589"/>
      <c r="J885" s="589"/>
      <c r="K885" s="592"/>
      <c r="L885" s="589"/>
      <c r="M885" s="595"/>
      <c r="N885" s="598"/>
      <c r="O885" s="601"/>
      <c r="P885" s="595"/>
      <c r="Q885" s="604"/>
      <c r="R885" s="601"/>
      <c r="S885" s="287"/>
      <c r="T885" s="607"/>
      <c r="U885" s="142" t="s">
        <v>190</v>
      </c>
      <c r="V885" s="441"/>
      <c r="W885" s="319"/>
      <c r="X885" s="320" t="str">
        <f>IF(W885=[24]Listas!$B$46,[24]Listas!$C$46,IF(W885=[24]Listas!$B$47,[24]Listas!$C$47,IF(W885=[24]Listas!$B$48,[24]Listas!$C$48,"")))</f>
        <v/>
      </c>
      <c r="Y885" s="321" t="str">
        <f>IF(OR(W885=[24]Listas!$F$53,W885=[24]Listas!$F$54),[24]Listas!$G$53,IF(W885=[24]Listas!$F$55,[24]Listas!$G$55,""))</f>
        <v/>
      </c>
      <c r="Z885" s="319"/>
      <c r="AA885" s="182" t="str">
        <f>+IF(Z885=[24]Listas!$E$46,[24]Listas!$F$46,IF(Z885=[24]Listas!$E$47,[24]Listas!$F$47,""))</f>
        <v/>
      </c>
      <c r="AB885" s="183" t="str">
        <f t="shared" ref="AB885:AB891" si="137">IFERROR(X885+AA885,"")</f>
        <v/>
      </c>
      <c r="AC885" s="328"/>
      <c r="AD885" s="329"/>
      <c r="AE885" s="330"/>
      <c r="AF885" s="305" t="str">
        <f t="shared" si="128"/>
        <v>Muy baja</v>
      </c>
      <c r="AG885" s="145">
        <f>IF(Y885=[24]Listas!$G$53,AG884-(AG884*AB885),AG884)</f>
        <v>0.19600000000000001</v>
      </c>
      <c r="AH885" s="562"/>
      <c r="AI885" s="305" t="str">
        <f t="shared" si="136"/>
        <v>Moderado</v>
      </c>
      <c r="AJ885" s="145">
        <f>IF(Y885=[24]Listas!$G$55,AJ884-(AJ884*AB885),AJ884)</f>
        <v>0.6</v>
      </c>
      <c r="AK885" s="562"/>
      <c r="AL885" s="565"/>
      <c r="AM885" s="565"/>
      <c r="AN885" s="565"/>
      <c r="AO885" s="568"/>
      <c r="AP885" s="571"/>
      <c r="AQ885" s="324"/>
      <c r="AR885" s="185"/>
    </row>
    <row r="886" spans="2:44" ht="15" hidden="1" customHeight="1" thickTop="1" x14ac:dyDescent="0.35">
      <c r="B886" s="537"/>
      <c r="C886" s="560"/>
      <c r="D886" s="574"/>
      <c r="E886" s="577"/>
      <c r="F886" s="625"/>
      <c r="G886" s="628"/>
      <c r="H886" s="628"/>
      <c r="I886" s="589"/>
      <c r="J886" s="589"/>
      <c r="K886" s="592"/>
      <c r="L886" s="589"/>
      <c r="M886" s="595"/>
      <c r="N886" s="598"/>
      <c r="O886" s="601"/>
      <c r="P886" s="595"/>
      <c r="Q886" s="604"/>
      <c r="R886" s="601"/>
      <c r="S886" s="287"/>
      <c r="T886" s="607"/>
      <c r="U886" s="142" t="s">
        <v>198</v>
      </c>
      <c r="V886" s="415"/>
      <c r="W886" s="331"/>
      <c r="X886" s="320" t="str">
        <f>IF(W886=[24]Listas!$B$46,[24]Listas!$C$46,IF(W886=[24]Listas!$B$47,[24]Listas!$C$47,IF(W886=[24]Listas!$B$48,[24]Listas!$C$48,"")))</f>
        <v/>
      </c>
      <c r="Y886" s="321" t="str">
        <f>IF(OR(W886=[24]Listas!$F$53,W886=[24]Listas!$F$54),[24]Listas!$G$53,IF(W886=[24]Listas!$F$55,[24]Listas!$G$55,""))</f>
        <v/>
      </c>
      <c r="Z886" s="331"/>
      <c r="AA886" s="182" t="str">
        <f>+IF(Z886=[24]Listas!$E$46,[24]Listas!$F$46,IF(Z886=[24]Listas!$E$47,[24]Listas!$F$47,""))</f>
        <v/>
      </c>
      <c r="AB886" s="183" t="str">
        <f t="shared" si="137"/>
        <v/>
      </c>
      <c r="AC886" s="319"/>
      <c r="AD886" s="322"/>
      <c r="AE886" s="323"/>
      <c r="AF886" s="305" t="str">
        <f t="shared" si="128"/>
        <v>Muy baja</v>
      </c>
      <c r="AG886" s="145">
        <f>IF(Y886=[24]Listas!$G$53,AG885-(AG885*AB886),AG885)</f>
        <v>0.19600000000000001</v>
      </c>
      <c r="AH886" s="562"/>
      <c r="AI886" s="305" t="str">
        <f t="shared" si="136"/>
        <v>Moderado</v>
      </c>
      <c r="AJ886" s="145">
        <f>IF(Y886=[24]Listas!$G$55,AJ885-(AJ885*AB886),AJ885)</f>
        <v>0.6</v>
      </c>
      <c r="AK886" s="562"/>
      <c r="AL886" s="565"/>
      <c r="AM886" s="565"/>
      <c r="AN886" s="565"/>
      <c r="AO886" s="568"/>
      <c r="AP886" s="571"/>
      <c r="AQ886" s="324"/>
      <c r="AR886" s="185"/>
    </row>
    <row r="887" spans="2:44" ht="15.75" hidden="1" customHeight="1" thickTop="1" x14ac:dyDescent="0.35">
      <c r="B887" s="537"/>
      <c r="C887" s="560"/>
      <c r="D887" s="574"/>
      <c r="E887" s="577"/>
      <c r="F887" s="625"/>
      <c r="G887" s="628"/>
      <c r="H887" s="628"/>
      <c r="I887" s="589"/>
      <c r="J887" s="589"/>
      <c r="K887" s="592"/>
      <c r="L887" s="589"/>
      <c r="M887" s="595"/>
      <c r="N887" s="598"/>
      <c r="O887" s="601"/>
      <c r="P887" s="595"/>
      <c r="Q887" s="604"/>
      <c r="R887" s="601"/>
      <c r="S887" s="288"/>
      <c r="T887" s="607"/>
      <c r="U887" s="142" t="s">
        <v>208</v>
      </c>
      <c r="V887" s="415"/>
      <c r="W887" s="331"/>
      <c r="X887" s="320" t="str">
        <f>IF(W887=[24]Listas!$B$46,[24]Listas!$C$46,IF(W887=[24]Listas!$B$47,[24]Listas!$C$47,IF(W887=[24]Listas!$B$48,[24]Listas!$C$48,"")))</f>
        <v/>
      </c>
      <c r="Y887" s="321" t="str">
        <f>IF(OR(W887=[24]Listas!$F$53,W887=[24]Listas!$F$54),[24]Listas!$G$53,IF(W887=[24]Listas!$F$55,[24]Listas!$G$55,""))</f>
        <v/>
      </c>
      <c r="Z887" s="331"/>
      <c r="AA887" s="182" t="str">
        <f>+IF(Z887=[24]Listas!$E$46,[24]Listas!$F$46,IF(Z887=[24]Listas!$E$47,[24]Listas!$F$47,""))</f>
        <v/>
      </c>
      <c r="AB887" s="183" t="str">
        <f t="shared" si="137"/>
        <v/>
      </c>
      <c r="AC887" s="319"/>
      <c r="AD887" s="322"/>
      <c r="AE887" s="323"/>
      <c r="AF887" s="305" t="str">
        <f t="shared" si="128"/>
        <v>Muy baja</v>
      </c>
      <c r="AG887" s="145">
        <f>IF(Y887=[24]Listas!$G$53,AG886-(AG886*AB887),AG886)</f>
        <v>0.19600000000000001</v>
      </c>
      <c r="AH887" s="562"/>
      <c r="AI887" s="305" t="str">
        <f t="shared" si="136"/>
        <v>Moderado</v>
      </c>
      <c r="AJ887" s="145">
        <f>IF(Y887=[24]Listas!$G$55,AJ886-(AJ886*AB887),AJ886)</f>
        <v>0.6</v>
      </c>
      <c r="AK887" s="562"/>
      <c r="AL887" s="565"/>
      <c r="AM887" s="565"/>
      <c r="AN887" s="565"/>
      <c r="AO887" s="568"/>
      <c r="AP887" s="571"/>
      <c r="AQ887" s="332"/>
      <c r="AR887" s="185"/>
    </row>
    <row r="888" spans="2:44" ht="15" hidden="1" customHeight="1" thickTop="1" x14ac:dyDescent="0.35">
      <c r="B888" s="537"/>
      <c r="C888" s="560"/>
      <c r="D888" s="574"/>
      <c r="E888" s="577"/>
      <c r="F888" s="625"/>
      <c r="G888" s="628"/>
      <c r="H888" s="628"/>
      <c r="I888" s="589"/>
      <c r="J888" s="589"/>
      <c r="K888" s="592"/>
      <c r="L888" s="589"/>
      <c r="M888" s="595"/>
      <c r="N888" s="598"/>
      <c r="O888" s="601"/>
      <c r="P888" s="595"/>
      <c r="Q888" s="604"/>
      <c r="R888" s="601"/>
      <c r="S888" s="289"/>
      <c r="T888" s="607"/>
      <c r="U888" s="142" t="s">
        <v>215</v>
      </c>
      <c r="V888" s="415"/>
      <c r="W888" s="331"/>
      <c r="X888" s="320" t="str">
        <f>IF(W888=[24]Listas!$B$46,[24]Listas!$C$46,IF(W888=[24]Listas!$B$47,[24]Listas!$C$47,IF(W888=[24]Listas!$B$48,[24]Listas!$C$48,"")))</f>
        <v/>
      </c>
      <c r="Y888" s="321" t="str">
        <f>IF(OR(W888=[24]Listas!$F$53,W888=[24]Listas!$F$54),[24]Listas!$G$53,IF(W888=[24]Listas!$F$55,[24]Listas!$G$55,""))</f>
        <v/>
      </c>
      <c r="Z888" s="331"/>
      <c r="AA888" s="182" t="str">
        <f>+IF(Z888=[24]Listas!$E$46,[24]Listas!$F$46,IF(Z888=[24]Listas!$E$47,[24]Listas!$F$47,""))</f>
        <v/>
      </c>
      <c r="AB888" s="183" t="str">
        <f t="shared" si="137"/>
        <v/>
      </c>
      <c r="AC888" s="319"/>
      <c r="AD888" s="322"/>
      <c r="AE888" s="323"/>
      <c r="AF888" s="305" t="str">
        <f t="shared" si="128"/>
        <v>Muy baja</v>
      </c>
      <c r="AG888" s="145">
        <f>IF(Y888=[24]Listas!$G$53,AG887-(AG887*AB888),AG887)</f>
        <v>0.19600000000000001</v>
      </c>
      <c r="AH888" s="562"/>
      <c r="AI888" s="305" t="str">
        <f t="shared" si="136"/>
        <v>Moderado</v>
      </c>
      <c r="AJ888" s="145">
        <f>IF(Y888=[24]Listas!$G$55,AJ887-(AJ887*AB888),AJ887)</f>
        <v>0.6</v>
      </c>
      <c r="AK888" s="562"/>
      <c r="AL888" s="565"/>
      <c r="AM888" s="565"/>
      <c r="AN888" s="565"/>
      <c r="AO888" s="568"/>
      <c r="AP888" s="571"/>
      <c r="AQ888" s="333"/>
      <c r="AR888" s="185"/>
    </row>
    <row r="889" spans="2:44" ht="15" hidden="1" customHeight="1" thickTop="1" x14ac:dyDescent="0.35">
      <c r="B889" s="537"/>
      <c r="C889" s="560"/>
      <c r="D889" s="574"/>
      <c r="E889" s="577"/>
      <c r="F889" s="625"/>
      <c r="G889" s="628"/>
      <c r="H889" s="628"/>
      <c r="I889" s="589"/>
      <c r="J889" s="589"/>
      <c r="K889" s="592"/>
      <c r="L889" s="589"/>
      <c r="M889" s="595"/>
      <c r="N889" s="598"/>
      <c r="O889" s="601"/>
      <c r="P889" s="595"/>
      <c r="Q889" s="604"/>
      <c r="R889" s="601"/>
      <c r="S889" s="289"/>
      <c r="T889" s="607"/>
      <c r="U889" s="142" t="s">
        <v>220</v>
      </c>
      <c r="V889" s="415"/>
      <c r="W889" s="331"/>
      <c r="X889" s="320" t="str">
        <f>IF(W889=[24]Listas!$B$46,[24]Listas!$C$46,IF(W889=[24]Listas!$B$47,[24]Listas!$C$47,IF(W889=[24]Listas!$B$48,[24]Listas!$C$48,"")))</f>
        <v/>
      </c>
      <c r="Y889" s="321" t="str">
        <f>IF(OR(W889=[24]Listas!$F$53,W889=[24]Listas!$F$54),[24]Listas!$G$53,IF(W889=[24]Listas!$F$55,[24]Listas!$G$55,""))</f>
        <v/>
      </c>
      <c r="Z889" s="331"/>
      <c r="AA889" s="182" t="str">
        <f>+IF(Z889=[24]Listas!$E$46,[24]Listas!$F$46,IF(Z889=[24]Listas!$E$47,[24]Listas!$F$47,""))</f>
        <v/>
      </c>
      <c r="AB889" s="183" t="str">
        <f t="shared" si="137"/>
        <v/>
      </c>
      <c r="AC889" s="319"/>
      <c r="AD889" s="322"/>
      <c r="AE889" s="323"/>
      <c r="AF889" s="305" t="str">
        <f t="shared" si="128"/>
        <v>Muy baja</v>
      </c>
      <c r="AG889" s="145">
        <f>IF(Y889=[24]Listas!$G$53,AG888-(AG888*AB889),AG888)</f>
        <v>0.19600000000000001</v>
      </c>
      <c r="AH889" s="562"/>
      <c r="AI889" s="305" t="str">
        <f t="shared" si="136"/>
        <v>Moderado</v>
      </c>
      <c r="AJ889" s="145">
        <f>IF(Y889=[24]Listas!$G$55,AJ888-(AJ888*AB889),AJ888)</f>
        <v>0.6</v>
      </c>
      <c r="AK889" s="562"/>
      <c r="AL889" s="565"/>
      <c r="AM889" s="565"/>
      <c r="AN889" s="565"/>
      <c r="AO889" s="568"/>
      <c r="AP889" s="571"/>
      <c r="AQ889" s="334"/>
      <c r="AR889" s="185"/>
    </row>
    <row r="890" spans="2:44" ht="15" hidden="1" customHeight="1" thickTop="1" x14ac:dyDescent="0.35">
      <c r="B890" s="537"/>
      <c r="C890" s="560"/>
      <c r="D890" s="574"/>
      <c r="E890" s="577"/>
      <c r="F890" s="625"/>
      <c r="G890" s="628"/>
      <c r="H890" s="628"/>
      <c r="I890" s="589"/>
      <c r="J890" s="589"/>
      <c r="K890" s="592"/>
      <c r="L890" s="589"/>
      <c r="M890" s="595"/>
      <c r="N890" s="598"/>
      <c r="O890" s="601"/>
      <c r="P890" s="595"/>
      <c r="Q890" s="604"/>
      <c r="R890" s="601"/>
      <c r="S890" s="289"/>
      <c r="T890" s="607"/>
      <c r="U890" s="142" t="s">
        <v>223</v>
      </c>
      <c r="V890" s="415"/>
      <c r="W890" s="331"/>
      <c r="X890" s="320" t="str">
        <f>IF(W890=[24]Listas!$B$46,[24]Listas!$C$46,IF(W890=[24]Listas!$B$47,[24]Listas!$C$47,IF(W890=[24]Listas!$B$48,[24]Listas!$C$48,"")))</f>
        <v/>
      </c>
      <c r="Y890" s="321" t="str">
        <f>IF(OR(W890=[24]Listas!$F$53,W890=[24]Listas!$F$54),[24]Listas!$G$53,IF(W890=[24]Listas!$F$55,[24]Listas!$G$55,""))</f>
        <v/>
      </c>
      <c r="Z890" s="331"/>
      <c r="AA890" s="182" t="str">
        <f>+IF(Z890=[24]Listas!$E$46,[24]Listas!$F$46,IF(Z890=[24]Listas!$E$47,[24]Listas!$F$47,""))</f>
        <v/>
      </c>
      <c r="AB890" s="183" t="str">
        <f t="shared" si="137"/>
        <v/>
      </c>
      <c r="AC890" s="319"/>
      <c r="AD890" s="322"/>
      <c r="AE890" s="323"/>
      <c r="AF890" s="305" t="str">
        <f t="shared" si="128"/>
        <v>Muy baja</v>
      </c>
      <c r="AG890" s="145">
        <f>IF(Y890=[24]Listas!$G$53,AG889-(AG889*AB890),AG889)</f>
        <v>0.19600000000000001</v>
      </c>
      <c r="AH890" s="562"/>
      <c r="AI890" s="305" t="str">
        <f t="shared" si="136"/>
        <v>Moderado</v>
      </c>
      <c r="AJ890" s="145">
        <f>IF(Y890=[24]Listas!$G$55,AJ889-(AJ889*AB890),AJ889)</f>
        <v>0.6</v>
      </c>
      <c r="AK890" s="562"/>
      <c r="AL890" s="565"/>
      <c r="AM890" s="565"/>
      <c r="AN890" s="565"/>
      <c r="AO890" s="568"/>
      <c r="AP890" s="571"/>
      <c r="AQ890" s="324"/>
      <c r="AR890" s="185"/>
    </row>
    <row r="891" spans="2:44" ht="15.75" hidden="1" customHeight="1" thickTop="1" x14ac:dyDescent="0.35">
      <c r="B891" s="537"/>
      <c r="C891" s="560"/>
      <c r="D891" s="575"/>
      <c r="E891" s="578"/>
      <c r="F891" s="626"/>
      <c r="G891" s="629"/>
      <c r="H891" s="629"/>
      <c r="I891" s="590"/>
      <c r="J891" s="590"/>
      <c r="K891" s="593"/>
      <c r="L891" s="590"/>
      <c r="M891" s="596"/>
      <c r="N891" s="599"/>
      <c r="O891" s="602"/>
      <c r="P891" s="596"/>
      <c r="Q891" s="605"/>
      <c r="R891" s="602"/>
      <c r="S891" s="293"/>
      <c r="T891" s="608"/>
      <c r="U891" s="202" t="s">
        <v>224</v>
      </c>
      <c r="V891" s="416"/>
      <c r="W891" s="335"/>
      <c r="X891" s="336" t="str">
        <f>IF(W891=[24]Listas!$B$46,[24]Listas!$C$46,IF(W891=[24]Listas!$B$47,[24]Listas!$C$47,IF(W891=[24]Listas!$B$48,[24]Listas!$C$48,"")))</f>
        <v/>
      </c>
      <c r="Y891" s="337" t="str">
        <f>IF(OR(W891=[24]Listas!$F$53,W891=[24]Listas!$F$54),[24]Listas!$G$53,IF(W891=[24]Listas!$F$55,[24]Listas!$G$55,""))</f>
        <v/>
      </c>
      <c r="Z891" s="335"/>
      <c r="AA891" s="186" t="str">
        <f>+IF(Z891=[24]Listas!$E$46,[24]Listas!$F$46,IF(Z891=[24]Listas!$E$47,[24]Listas!$F$47,""))</f>
        <v/>
      </c>
      <c r="AB891" s="187" t="str">
        <f t="shared" si="137"/>
        <v/>
      </c>
      <c r="AC891" s="338"/>
      <c r="AD891" s="339"/>
      <c r="AE891" s="340"/>
      <c r="AF891" s="311" t="str">
        <f t="shared" si="128"/>
        <v>Muy baja</v>
      </c>
      <c r="AG891" s="179">
        <f>IF(Y891=[24]Listas!$G$53,AG890-(AG890*AB891),AG890)</f>
        <v>0.19600000000000001</v>
      </c>
      <c r="AH891" s="563"/>
      <c r="AI891" s="311" t="str">
        <f t="shared" si="136"/>
        <v>Moderado</v>
      </c>
      <c r="AJ891" s="179">
        <f>IF(Y891=[24]Listas!$G$55,AJ890-(AJ890*AB891),AJ890)</f>
        <v>0.6</v>
      </c>
      <c r="AK891" s="563"/>
      <c r="AL891" s="566"/>
      <c r="AM891" s="566"/>
      <c r="AN891" s="566"/>
      <c r="AO891" s="569"/>
      <c r="AP891" s="572"/>
      <c r="AQ891" s="341"/>
      <c r="AR891" s="188"/>
    </row>
    <row r="892" spans="2:44" ht="309.75" customHeight="1" thickTop="1" thickBot="1" x14ac:dyDescent="0.4">
      <c r="B892" s="537"/>
      <c r="C892" s="560"/>
      <c r="D892" s="609" t="s">
        <v>988</v>
      </c>
      <c r="E892" s="576" t="s">
        <v>5</v>
      </c>
      <c r="F892" s="579" t="s">
        <v>989</v>
      </c>
      <c r="G892" s="582" t="s">
        <v>990</v>
      </c>
      <c r="H892" s="654" t="s">
        <v>991</v>
      </c>
      <c r="I892" s="588" t="s">
        <v>26</v>
      </c>
      <c r="J892" s="588" t="s">
        <v>22</v>
      </c>
      <c r="K892" s="591" t="s">
        <v>992</v>
      </c>
      <c r="L892" s="588" t="s">
        <v>186</v>
      </c>
      <c r="M892" s="594" t="s">
        <v>169</v>
      </c>
      <c r="N892" s="597" t="str">
        <f>+IF(M892="","",IF(M892=$BO$15,$BN$15,IF(M892=$BO$16,$BN$16,IF(M892=$BO$17,$BN$17,IF(M892=$BO$18,$BN$18,IF(M892=$BO$19,$BN$19))))))</f>
        <v>Alta</v>
      </c>
      <c r="O892" s="600">
        <f>+IF(M892="","",IF(M892=$BO$15,$BR$15,IF(M892=$BO$16,$BR$16,IF(M892=$BO$17,$BR$17,IF(M892=$BO$18,$BR$18,IF(M892=$BO$19,$BR$19))))))</f>
        <v>0.8</v>
      </c>
      <c r="P892" s="594" t="s">
        <v>205</v>
      </c>
      <c r="Q892" s="603" t="str">
        <f>+IF(P892="","",IF(P892='[24]Mapa de Calor inherente'!$AF$6,'[24]Mapa de Calor inherente'!$AD$6,IF(P892='[24]Mapa de Calor inherente'!$AF$7,'[24]Mapa de Calor inherente'!$AD$7,IF(P892='[24]Mapa de Calor inherente'!$AF$8,'[24]Mapa de Calor inherente'!$AD$8,IF(P892='[24]Mapa de Calor inherente'!$AF$9,'[24]Mapa de Calor inherente'!$AD$9,IF(P892='[24]Mapa de Calor inherente'!$AF$10,'[24]Mapa de Calor inherente'!$AD$10,IF(P892='[24]Mapa de Calor inherente'!$AG$6,'[24]Mapa de Calor inherente'!$AD$6,IF(P892='[24]Mapa de Calor inherente'!$AG$7,'[24]Mapa de Calor inherente'!$AD$7,IF(P892='[24]Mapa de Calor inherente'!$AG$8,'[24]Mapa de Calor inherente'!$AD$8,IF(P892='[24]Mapa de Calor inherente'!$AG$9,'[24]Mapa de Calor inherente'!$AD$9,IF(P892='[24]Mapa de Calor inherente'!$AG$10,'[24]Mapa de Calor inherente'!$AD$10,IF(P892='[24]Mapa de Calor inherente'!$AD$8,'[24]Mapa de Calor inherente'!$AD$8,IF(P892='[24]Mapa de Calor inherente'!$AD$9,'[24]Mapa de Calor inherente'!$AD$9,IF(P892='[24]Mapa de Calor inherente'!$AD$10,'[24]Mapa de Calor inherente'!$AD$10))))))))))))))</f>
        <v>Menor</v>
      </c>
      <c r="R892" s="600">
        <f>+IF(P892="","",IF(P892='[24]Mapa de Calor inherente'!$AF$6,'[24]Mapa de Calor inherente'!$AE$6,IF(P892='[24]Mapa de Calor inherente'!$AF$7,'[24]Mapa de Calor inherente'!$AE$7,IF(P892='[24]Mapa de Calor inherente'!$AF$8,'[24]Mapa de Calor inherente'!$AE$8,IF(P892='[24]Mapa de Calor inherente'!$AF$9,'[24]Mapa de Calor inherente'!$AE$9,IF(P892='[24]Mapa de Calor inherente'!$AF$10,'[24]Mapa de Calor inherente'!$AE$10,IF(P892='[24]Mapa de Calor inherente'!$AG$6,'[24]Mapa de Calor inherente'!$AE$6,IF(P892='[24]Mapa de Calor inherente'!$AG$7,'[24]Mapa de Calor inherente'!$AE$7,IF(P892='[24]Mapa de Calor inherente'!$AG$8,'[24]Mapa de Calor inherente'!$AE$8,IF(P892='[24]Mapa de Calor inherente'!$AG$9,'[24]Mapa de Calor inherente'!$AE$9,IF(P892='[24]Mapa de Calor inherente'!$AG$10,'[24]Mapa de Calor inherente'!$AE$10,IF(P892='[24]Mapa de Calor inherente'!$AD$8,'[24]Mapa de Calor inherente'!$AE$8,IF(P892='[24]Mapa de Calor inherente'!$AD$9,'[24]Mapa de Calor inherente'!$AE$9,IF(P892='[24]Mapa de Calor inherente'!$AD$10,'[24]Mapa de Calor inherente'!$AE$10))))))))))))))</f>
        <v>0.4</v>
      </c>
      <c r="S892" s="292"/>
      <c r="T892" s="603" t="str">
        <f>+IF(N892=$BB$17,IF(Q892=$BC$16,$BC$17,IF(Q892=$BD$16,$BD$17,IF(Q892=$BE$16,$BE$17,IF(Q892=$BF$16,$BF$17,IF(Q892=$BG$16,$BG$17))))),IF(N892=$BB$18,IF(Q892=$BC$16,$BC$18,IF(Q892=$BD$16,$BD$18,IF(Q892=$BE$16,$BE$18,IF(Q892=$BF$16,$BF$18,IF(Q892=$BG$16,$BG$18))))),IF(N892=$BB$19,IF(Q892=$BC$16,$BC$19,IF(Q892=$BD$16,$BD$19,IF(Q892=$BE$16,$BE$19,IF(Q892=$BF$16,$BF$19,IF(Q892=$BG$16,$BG$19))))),IF(N892=$BB$20,IF(Q892=$BC$16,$BC$20,IF(Q892=$BD$16,$BD$20,IF(Q892=$BE$16,$BE$20,IF(Q892=$BF$16,$BF$20,IF(Q892=$BG$16,$BG$20))))),IF(N892=$BB$21,IF(Q892=$BC$16,$BC$21,IF(Q892=$BD$16,$BD$21,IF(Q892=$BE$16,$BE$21,IF(Q892=$BF$16,$BF$21,IF(Q892=$BG$16,$BG$21))))),"")))))</f>
        <v>Moderado</v>
      </c>
      <c r="U892" s="139" t="s">
        <v>171</v>
      </c>
      <c r="V892" s="516" t="s">
        <v>993</v>
      </c>
      <c r="W892" s="313" t="s">
        <v>40</v>
      </c>
      <c r="X892" s="314">
        <f>IF(W892=[24]Listas!$B$46,[24]Listas!$C$46,IF(W892=[24]Listas!$B$47,[24]Listas!$C$47,IF(W892=[24]Listas!$B$48,[24]Listas!$C$48,"")))</f>
        <v>0.25</v>
      </c>
      <c r="Y892" s="315" t="str">
        <f>IF(OR(W892=[24]Listas!$F$53,W892=[24]Listas!$F$54),[24]Listas!$G$53,IF(W892=[24]Listas!$F$55,[24]Listas!$G$55,""))</f>
        <v>Probabilidad</v>
      </c>
      <c r="Z892" s="313" t="s">
        <v>43</v>
      </c>
      <c r="AA892" s="314">
        <f>+IF(Z892=[24]Listas!$E$46,[24]Listas!$F$46,IF(Z892=[24]Listas!$E$47,[24]Listas!$F$47,""))</f>
        <v>0.15</v>
      </c>
      <c r="AB892" s="181">
        <f>IFERROR(X892+AA892,"")</f>
        <v>0.4</v>
      </c>
      <c r="AC892" s="313" t="s">
        <v>57</v>
      </c>
      <c r="AD892" s="313" t="s">
        <v>58</v>
      </c>
      <c r="AE892" s="317" t="s">
        <v>59</v>
      </c>
      <c r="AF892" s="299" t="str">
        <f t="shared" si="128"/>
        <v>Media</v>
      </c>
      <c r="AG892" s="141">
        <f>IF(Y892=[24]Listas!$G$53,O892-(O892*AB892),O892)</f>
        <v>0.48</v>
      </c>
      <c r="AH892" s="561">
        <f>+IF(AG901="","",AG901)</f>
        <v>0.28799999999999998</v>
      </c>
      <c r="AI892" s="299" t="str">
        <f>IF(AJ892="","",IF(AJ892&lt;=20%,"Leve",IF(AJ892&lt;=40%,"Menor",IF(AJ892&lt;=60%,"Moderado",IF(AJ892&lt;=80%,"Mayor","Catastrófico")))))</f>
        <v>Menor</v>
      </c>
      <c r="AJ892" s="141">
        <f>IF(Y892=[24]Listas!$G$55,R892-(R892*AB892),R892)</f>
        <v>0.4</v>
      </c>
      <c r="AK892" s="561">
        <f>+IF(AJ901="","",AJ901)</f>
        <v>0.4</v>
      </c>
      <c r="AL892" s="564" t="str">
        <f>+IF(AH892=0,"",IF(AH892&lt;=$BA$21,$BB$21,IF(AH892&lt;=$BA$20,$BB$20,IF(AH892&lt;=$BA$19,$BB$19,IF(AH892&lt;=$BA$18,$BB$18,IF(AH892&lt;=$BA$17,$BB$17,""))))))</f>
        <v>Baja</v>
      </c>
      <c r="AM892" s="564" t="str">
        <f>+IF(AK892=0,"",IF(AK892&lt;=$BC$15,$BC$16,IF(AK892&lt;=$BD$15,$BD$16,IF(AK892&lt;=$BE$15,$BE$16,IF(AK892&lt;=$BF$15,$BF$16,IF(AK892&lt;=$BG$15,$BG$16,""))))))</f>
        <v>Menor</v>
      </c>
      <c r="AN892" s="564" t="str">
        <f>IF(AL892=$BB$17,IF(AM892=$BC$16,$BC$17,IF(AM892=$BD$16,$BD$17,IF(AM892=$BE$16,$BE$17,IF(AM892=$BF$16,$BF$17,IF(AM892=$BG$16,$BG$17))))),IF(AL892=$BB$18,IF(AM892=$BC$16,$BC$18,IF(AM892=$BD$16,$BD$18,IF(AM892=$BE$16,$BE$18,IF(AM892=$BF$16,$BF$18,IF(AM892=$BG$16,$BG$18))))),IF(AL892=$BB$19,IF(AM892=$BC$16,$BC$19,IF(AM892=$BD$16,$BD$19,IF(AM892=$BE$16,$BE$19,IF(AM892=$BF$16,$BF$19,IF(AM892=$BG$16,$BG$19))))),IF(AL892=$BB$20,IF(AM892=$BC$16,$BC$20,IF(AM892=$BD$16,$BD$20,IF(AM892=$BE$16,$BE$20,IF(AM892=$BF$16,$BF$20,IF(AM892=$BG$16,$BG$20))))),IF(AL892=$BB$21,IF(AM892=$BC$16,$BC$21,IF(AM892=$BD$16,$BD$21,IF(AM892=$BE$16,$BE$21,IF(AM892=$BF$16,$BF$21,IF(AM892=$BG$16,$BG$21))))),"")))))</f>
        <v>Moderado</v>
      </c>
      <c r="AO892" s="567" t="str">
        <f>IF(AP892="","",IF(AP892=[24]Listas!$F$61,[24]Listas!$G$61,IF(AP892=[24]Listas!$F$63,[24]Listas!$G$63,IF(AP892=[24]Listas!$F$64,[24]Listas!$G$64))))</f>
        <v>Requiere Plan de Acción</v>
      </c>
      <c r="AP892" s="570" t="str">
        <f>IF(AN892="","",IF(OR(AN892=[24]Listas!$E$61,AN892=[24]Listas!$E$62),[24]Listas!$F$61,IF(AN892=[24]Listas!$E$63,[24]Listas!$F$63,IF(AN892=[24]Listas!$E$64,[24]Listas!$F$64))))</f>
        <v>Aceptar o reducir el riesgo</v>
      </c>
      <c r="AQ892" s="342" t="s">
        <v>90</v>
      </c>
      <c r="AR892" s="269" t="s">
        <v>994</v>
      </c>
    </row>
    <row r="893" spans="2:44" ht="262.5" customHeight="1" thickTop="1" thickBot="1" x14ac:dyDescent="0.4">
      <c r="B893" s="537"/>
      <c r="C893" s="560"/>
      <c r="D893" s="610"/>
      <c r="E893" s="577"/>
      <c r="F893" s="580"/>
      <c r="G893" s="583"/>
      <c r="H893" s="655"/>
      <c r="I893" s="589"/>
      <c r="J893" s="589"/>
      <c r="K893" s="592"/>
      <c r="L893" s="589"/>
      <c r="M893" s="595"/>
      <c r="N893" s="598"/>
      <c r="O893" s="601"/>
      <c r="P893" s="595"/>
      <c r="Q893" s="604"/>
      <c r="R893" s="601"/>
      <c r="S893" s="286"/>
      <c r="T893" s="604"/>
      <c r="U893" s="142" t="s">
        <v>174</v>
      </c>
      <c r="V893" s="517" t="s">
        <v>995</v>
      </c>
      <c r="W893" s="331" t="s">
        <v>40</v>
      </c>
      <c r="X893" s="320">
        <f>IF(W893=[24]Listas!$B$46,[24]Listas!$C$46,IF(W893=[24]Listas!$B$47,[24]Listas!$C$47,IF(W893=[24]Listas!$B$48,[24]Listas!$C$48,"")))</f>
        <v>0.25</v>
      </c>
      <c r="Y893" s="321" t="str">
        <f>IF(OR(W893=[24]Listas!$F$53,W893=[24]Listas!$F$54),[24]Listas!$G$53,IF(W893=[24]Listas!$F$55,[24]Listas!$G$55,""))</f>
        <v>Probabilidad</v>
      </c>
      <c r="Z893" s="331" t="s">
        <v>43</v>
      </c>
      <c r="AA893" s="182">
        <f>+IF(Z893=[24]Listas!$E$46,[24]Listas!$F$46,IF(Z893=[24]Listas!$E$47,[24]Listas!$F$47,""))</f>
        <v>0.15</v>
      </c>
      <c r="AB893" s="183">
        <f>IFERROR(X893+AA893,"")</f>
        <v>0.4</v>
      </c>
      <c r="AC893" s="319" t="s">
        <v>57</v>
      </c>
      <c r="AD893" s="319" t="s">
        <v>58</v>
      </c>
      <c r="AE893" s="323" t="s">
        <v>59</v>
      </c>
      <c r="AF893" s="305" t="str">
        <f t="shared" si="128"/>
        <v>Baja</v>
      </c>
      <c r="AG893" s="145">
        <f>IF(Y893=[24]Listas!$G$53,AG892-(AG892*AB893),AG892)</f>
        <v>0.28799999999999998</v>
      </c>
      <c r="AH893" s="562"/>
      <c r="AI893" s="305" t="str">
        <f t="shared" si="136"/>
        <v>Menor</v>
      </c>
      <c r="AJ893" s="145">
        <f>IF(Y893=[24]Listas!$G$55,AJ892-(AJ892*AB893),AJ892)</f>
        <v>0.4</v>
      </c>
      <c r="AK893" s="562"/>
      <c r="AL893" s="565"/>
      <c r="AM893" s="565"/>
      <c r="AN893" s="565"/>
      <c r="AO893" s="568"/>
      <c r="AP893" s="571"/>
      <c r="AQ893" s="343"/>
      <c r="AR893" s="191"/>
    </row>
    <row r="894" spans="2:44" ht="15" hidden="1" customHeight="1" thickTop="1" x14ac:dyDescent="0.35">
      <c r="B894" s="537"/>
      <c r="C894" s="560"/>
      <c r="D894" s="610"/>
      <c r="E894" s="577"/>
      <c r="F894" s="580"/>
      <c r="G894" s="583"/>
      <c r="H894" s="655"/>
      <c r="I894" s="589"/>
      <c r="J894" s="589"/>
      <c r="K894" s="592"/>
      <c r="L894" s="589"/>
      <c r="M894" s="595"/>
      <c r="N894" s="598"/>
      <c r="O894" s="601"/>
      <c r="P894" s="595"/>
      <c r="Q894" s="604"/>
      <c r="R894" s="601"/>
      <c r="S894" s="287"/>
      <c r="T894" s="604"/>
      <c r="U894" s="142" t="s">
        <v>180</v>
      </c>
      <c r="V894" s="415"/>
      <c r="W894" s="331"/>
      <c r="X894" s="320" t="str">
        <f>IF(W894=[24]Listas!$B$46,[24]Listas!$C$46,IF(W894=[24]Listas!$B$47,[24]Listas!$C$47,IF(W894=[24]Listas!$B$48,[24]Listas!$C$48,"")))</f>
        <v/>
      </c>
      <c r="Y894" s="321" t="str">
        <f>IF(OR(W894=[24]Listas!$F$53,W894=[24]Listas!$F$54),[24]Listas!$G$53,IF(W894=[24]Listas!$F$55,[24]Listas!$G$55,""))</f>
        <v/>
      </c>
      <c r="Z894" s="331"/>
      <c r="AA894" s="182" t="str">
        <f>+IF(Z894=[24]Listas!$E$46,[24]Listas!$F$46,IF(Z894=[24]Listas!$E$47,[24]Listas!$F$47,""))</f>
        <v/>
      </c>
      <c r="AB894" s="183" t="str">
        <f>IFERROR(X894+AA894,"")</f>
        <v/>
      </c>
      <c r="AC894" s="319"/>
      <c r="AD894" s="319"/>
      <c r="AE894" s="323"/>
      <c r="AF894" s="305" t="str">
        <f t="shared" si="128"/>
        <v>Baja</v>
      </c>
      <c r="AG894" s="145">
        <f>IF(Y894=[24]Listas!$G$53,AG893-(AG893*AB894),AG893)</f>
        <v>0.28799999999999998</v>
      </c>
      <c r="AH894" s="562"/>
      <c r="AI894" s="305" t="str">
        <f t="shared" si="136"/>
        <v>Menor</v>
      </c>
      <c r="AJ894" s="145">
        <f>IF(Y894=[24]Listas!$G$55,AJ893-(AJ893*AB894),AJ893)</f>
        <v>0.4</v>
      </c>
      <c r="AK894" s="562"/>
      <c r="AL894" s="565"/>
      <c r="AM894" s="565"/>
      <c r="AN894" s="565"/>
      <c r="AO894" s="568"/>
      <c r="AP894" s="571"/>
      <c r="AQ894" s="343"/>
      <c r="AR894" s="191"/>
    </row>
    <row r="895" spans="2:44" ht="15" hidden="1" customHeight="1" thickTop="1" thickBot="1" x14ac:dyDescent="0.4">
      <c r="B895" s="537"/>
      <c r="C895" s="560"/>
      <c r="D895" s="610"/>
      <c r="E895" s="577"/>
      <c r="F895" s="580"/>
      <c r="G895" s="583"/>
      <c r="H895" s="655"/>
      <c r="I895" s="589"/>
      <c r="J895" s="589"/>
      <c r="K895" s="592"/>
      <c r="L895" s="589"/>
      <c r="M895" s="595"/>
      <c r="N895" s="598"/>
      <c r="O895" s="601"/>
      <c r="P895" s="595"/>
      <c r="Q895" s="604"/>
      <c r="R895" s="601"/>
      <c r="S895" s="287"/>
      <c r="T895" s="604"/>
      <c r="U895" s="142" t="s">
        <v>190</v>
      </c>
      <c r="V895" s="415"/>
      <c r="W895" s="331"/>
      <c r="X895" s="320" t="str">
        <f>IF(W895=[24]Listas!$B$46,[24]Listas!$C$46,IF(W895=[24]Listas!$B$47,[24]Listas!$C$47,IF(W895=[24]Listas!$B$48,[24]Listas!$C$48,"")))</f>
        <v/>
      </c>
      <c r="Y895" s="321" t="str">
        <f>IF(OR(W895=[24]Listas!$F$53,W895=[24]Listas!$F$54),[24]Listas!$G$53,IF(W895=[24]Listas!$F$55,[24]Listas!$G$55,""))</f>
        <v/>
      </c>
      <c r="Z895" s="331"/>
      <c r="AA895" s="182" t="str">
        <f>+IF(Z895=[24]Listas!$E$46,[24]Listas!$F$46,IF(Z895=[24]Listas!$E$47,[24]Listas!$F$47,""))</f>
        <v/>
      </c>
      <c r="AB895" s="183" t="str">
        <f t="shared" ref="AB895:AB901" si="138">IFERROR(X895+AA895,"")</f>
        <v/>
      </c>
      <c r="AC895" s="319"/>
      <c r="AD895" s="319"/>
      <c r="AE895" s="323"/>
      <c r="AF895" s="305" t="str">
        <f t="shared" si="128"/>
        <v>Baja</v>
      </c>
      <c r="AG895" s="145">
        <f>IF(Y895=[24]Listas!$G$53,AG894-(AG894*AB895),AG894)</f>
        <v>0.28799999999999998</v>
      </c>
      <c r="AH895" s="562"/>
      <c r="AI895" s="305" t="str">
        <f t="shared" si="136"/>
        <v>Menor</v>
      </c>
      <c r="AJ895" s="145">
        <f>IF(Y895=[24]Listas!$G$55,AJ894-(AJ894*AB895),AJ894)</f>
        <v>0.4</v>
      </c>
      <c r="AK895" s="562"/>
      <c r="AL895" s="565"/>
      <c r="AM895" s="565"/>
      <c r="AN895" s="565"/>
      <c r="AO895" s="568"/>
      <c r="AP895" s="571"/>
      <c r="AQ895" s="344"/>
      <c r="AR895" s="191"/>
    </row>
    <row r="896" spans="2:44" ht="15" hidden="1" customHeight="1" thickTop="1" x14ac:dyDescent="0.35">
      <c r="B896" s="537"/>
      <c r="C896" s="560"/>
      <c r="D896" s="610"/>
      <c r="E896" s="577"/>
      <c r="F896" s="580"/>
      <c r="G896" s="583"/>
      <c r="H896" s="655"/>
      <c r="I896" s="589"/>
      <c r="J896" s="589"/>
      <c r="K896" s="592"/>
      <c r="L896" s="589"/>
      <c r="M896" s="595"/>
      <c r="N896" s="598"/>
      <c r="O896" s="601"/>
      <c r="P896" s="595"/>
      <c r="Q896" s="604"/>
      <c r="R896" s="601"/>
      <c r="S896" s="287"/>
      <c r="T896" s="604"/>
      <c r="U896" s="142" t="s">
        <v>198</v>
      </c>
      <c r="V896" s="415"/>
      <c r="W896" s="331"/>
      <c r="X896" s="320" t="str">
        <f>IF(W896=[24]Listas!$B$46,[24]Listas!$C$46,IF(W896=[24]Listas!$B$47,[24]Listas!$C$47,IF(W896=[24]Listas!$B$48,[24]Listas!$C$48,"")))</f>
        <v/>
      </c>
      <c r="Y896" s="321" t="str">
        <f>IF(OR(W896=[24]Listas!$F$53,W896=[24]Listas!$F$54),[24]Listas!$G$53,IF(W896=[24]Listas!$F$55,[24]Listas!$G$55,""))</f>
        <v/>
      </c>
      <c r="Z896" s="331"/>
      <c r="AA896" s="182" t="str">
        <f>+IF(Z896=[24]Listas!$E$46,[24]Listas!$F$46,IF(Z896=[24]Listas!$E$47,[24]Listas!$F$47,""))</f>
        <v/>
      </c>
      <c r="AB896" s="183" t="str">
        <f t="shared" si="138"/>
        <v/>
      </c>
      <c r="AC896" s="319"/>
      <c r="AD896" s="319"/>
      <c r="AE896" s="323"/>
      <c r="AF896" s="305" t="str">
        <f t="shared" si="128"/>
        <v>Baja</v>
      </c>
      <c r="AG896" s="145">
        <f>IF(Y896=[24]Listas!$G$53,AG895-(AG895*AB896),AG895)</f>
        <v>0.28799999999999998</v>
      </c>
      <c r="AH896" s="562"/>
      <c r="AI896" s="305" t="str">
        <f t="shared" si="136"/>
        <v>Menor</v>
      </c>
      <c r="AJ896" s="145">
        <f>IF(Y896=[24]Listas!$G$55,AJ895-(AJ895*AB896),AJ895)</f>
        <v>0.4</v>
      </c>
      <c r="AK896" s="562"/>
      <c r="AL896" s="565"/>
      <c r="AM896" s="565"/>
      <c r="AN896" s="565"/>
      <c r="AO896" s="568"/>
      <c r="AP896" s="571"/>
      <c r="AQ896" s="343"/>
      <c r="AR896" s="191"/>
    </row>
    <row r="897" spans="2:44" ht="15.75" hidden="1" customHeight="1" thickTop="1" x14ac:dyDescent="0.35">
      <c r="B897" s="537"/>
      <c r="C897" s="560"/>
      <c r="D897" s="610"/>
      <c r="E897" s="577"/>
      <c r="F897" s="580"/>
      <c r="G897" s="583"/>
      <c r="H897" s="655"/>
      <c r="I897" s="589"/>
      <c r="J897" s="589"/>
      <c r="K897" s="592"/>
      <c r="L897" s="589"/>
      <c r="M897" s="595"/>
      <c r="N897" s="598"/>
      <c r="O897" s="601"/>
      <c r="P897" s="595"/>
      <c r="Q897" s="604"/>
      <c r="R897" s="601"/>
      <c r="S897" s="288"/>
      <c r="T897" s="604"/>
      <c r="U897" s="142" t="s">
        <v>208</v>
      </c>
      <c r="V897" s="415"/>
      <c r="W897" s="331"/>
      <c r="X897" s="320" t="str">
        <f>IF(W897=[24]Listas!$B$46,[24]Listas!$C$46,IF(W897=[24]Listas!$B$47,[24]Listas!$C$47,IF(W897=[24]Listas!$B$48,[24]Listas!$C$48,"")))</f>
        <v/>
      </c>
      <c r="Y897" s="321" t="str">
        <f>IF(OR(W897=[24]Listas!$F$53,W897=[24]Listas!$F$54),[24]Listas!$G$53,IF(W897=[24]Listas!$F$55,[24]Listas!$G$55,""))</f>
        <v/>
      </c>
      <c r="Z897" s="331"/>
      <c r="AA897" s="182" t="str">
        <f>+IF(Z897=[24]Listas!$E$46,[24]Listas!$F$46,IF(Z897=[24]Listas!$E$47,[24]Listas!$F$47,""))</f>
        <v/>
      </c>
      <c r="AB897" s="183" t="str">
        <f t="shared" si="138"/>
        <v/>
      </c>
      <c r="AC897" s="319"/>
      <c r="AD897" s="319"/>
      <c r="AE897" s="323"/>
      <c r="AF897" s="305" t="str">
        <f t="shared" si="128"/>
        <v>Baja</v>
      </c>
      <c r="AG897" s="145">
        <f>IF(Y897=[24]Listas!$G$53,AG896-(AG896*AB897),AG896)</f>
        <v>0.28799999999999998</v>
      </c>
      <c r="AH897" s="562"/>
      <c r="AI897" s="305" t="str">
        <f t="shared" si="136"/>
        <v>Menor</v>
      </c>
      <c r="AJ897" s="145">
        <f>IF(Y897=[24]Listas!$G$55,AJ896-(AJ896*AB897),AJ896)</f>
        <v>0.4</v>
      </c>
      <c r="AK897" s="562"/>
      <c r="AL897" s="565"/>
      <c r="AM897" s="565"/>
      <c r="AN897" s="565"/>
      <c r="AO897" s="568"/>
      <c r="AP897" s="571"/>
      <c r="AQ897" s="344"/>
      <c r="AR897" s="191"/>
    </row>
    <row r="898" spans="2:44" ht="15" hidden="1" customHeight="1" thickTop="1" x14ac:dyDescent="0.35">
      <c r="B898" s="537"/>
      <c r="C898" s="560"/>
      <c r="D898" s="610"/>
      <c r="E898" s="577"/>
      <c r="F898" s="580"/>
      <c r="G898" s="583"/>
      <c r="H898" s="655"/>
      <c r="I898" s="589"/>
      <c r="J898" s="589"/>
      <c r="K898" s="592"/>
      <c r="L898" s="589"/>
      <c r="M898" s="595"/>
      <c r="N898" s="598"/>
      <c r="O898" s="601"/>
      <c r="P898" s="595"/>
      <c r="Q898" s="604"/>
      <c r="R898" s="601"/>
      <c r="S898" s="289"/>
      <c r="T898" s="604"/>
      <c r="U898" s="142" t="s">
        <v>215</v>
      </c>
      <c r="V898" s="418"/>
      <c r="W898" s="331"/>
      <c r="X898" s="320" t="str">
        <f>IF(W898=[24]Listas!$B$46,[24]Listas!$C$46,IF(W898=[24]Listas!$B$47,[24]Listas!$C$47,IF(W898=[24]Listas!$B$48,[24]Listas!$C$48,"")))</f>
        <v/>
      </c>
      <c r="Y898" s="321" t="str">
        <f>IF(OR(W898=[24]Listas!$F$53,W898=[24]Listas!$F$54),[24]Listas!$G$53,IF(W898=[24]Listas!$F$55,[24]Listas!$G$55,""))</f>
        <v/>
      </c>
      <c r="Z898" s="331"/>
      <c r="AA898" s="182" t="str">
        <f>+IF(Z898=[24]Listas!$E$46,[24]Listas!$F$46,IF(Z898=[24]Listas!$E$47,[24]Listas!$F$47,""))</f>
        <v/>
      </c>
      <c r="AB898" s="183" t="str">
        <f t="shared" si="138"/>
        <v/>
      </c>
      <c r="AC898" s="319"/>
      <c r="AD898" s="322"/>
      <c r="AE898" s="323"/>
      <c r="AF898" s="305" t="str">
        <f t="shared" si="128"/>
        <v>Baja</v>
      </c>
      <c r="AG898" s="145">
        <f>IF(Y898=[24]Listas!$G$53,AG897-(AG897*AB898),AG897)</f>
        <v>0.28799999999999998</v>
      </c>
      <c r="AH898" s="562"/>
      <c r="AI898" s="305" t="str">
        <f t="shared" si="136"/>
        <v>Menor</v>
      </c>
      <c r="AJ898" s="145">
        <f>IF(Y898=[24]Listas!$G$55,AJ897-(AJ897*AB898),AJ897)</f>
        <v>0.4</v>
      </c>
      <c r="AK898" s="562"/>
      <c r="AL898" s="565"/>
      <c r="AM898" s="565"/>
      <c r="AN898" s="565"/>
      <c r="AO898" s="568"/>
      <c r="AP898" s="571"/>
      <c r="AQ898" s="345"/>
      <c r="AR898" s="191"/>
    </row>
    <row r="899" spans="2:44" ht="15" hidden="1" customHeight="1" thickTop="1" x14ac:dyDescent="0.35">
      <c r="B899" s="537"/>
      <c r="C899" s="560"/>
      <c r="D899" s="610"/>
      <c r="E899" s="577"/>
      <c r="F899" s="580"/>
      <c r="G899" s="583"/>
      <c r="H899" s="655"/>
      <c r="I899" s="589"/>
      <c r="J899" s="589"/>
      <c r="K899" s="592"/>
      <c r="L899" s="589"/>
      <c r="M899" s="595"/>
      <c r="N899" s="598"/>
      <c r="O899" s="601"/>
      <c r="P899" s="595"/>
      <c r="Q899" s="604"/>
      <c r="R899" s="601"/>
      <c r="S899" s="289"/>
      <c r="T899" s="604"/>
      <c r="U899" s="142" t="s">
        <v>220</v>
      </c>
      <c r="V899" s="418"/>
      <c r="W899" s="331"/>
      <c r="X899" s="320" t="str">
        <f>IF(W899=[24]Listas!$B$46,[24]Listas!$C$46,IF(W899=[24]Listas!$B$47,[24]Listas!$C$47,IF(W899=[24]Listas!$B$48,[24]Listas!$C$48,"")))</f>
        <v/>
      </c>
      <c r="Y899" s="321" t="str">
        <f>IF(OR(W899=[24]Listas!$F$53,W899=[24]Listas!$F$54),[24]Listas!$G$53,IF(W899=[24]Listas!$F$55,[24]Listas!$G$55,""))</f>
        <v/>
      </c>
      <c r="Z899" s="331"/>
      <c r="AA899" s="182" t="str">
        <f>+IF(Z899=[24]Listas!$E$46,[24]Listas!$F$46,IF(Z899=[24]Listas!$E$47,[24]Listas!$F$47,""))</f>
        <v/>
      </c>
      <c r="AB899" s="183" t="str">
        <f t="shared" si="138"/>
        <v/>
      </c>
      <c r="AC899" s="319"/>
      <c r="AD899" s="322"/>
      <c r="AE899" s="323"/>
      <c r="AF899" s="305" t="str">
        <f t="shared" si="128"/>
        <v>Baja</v>
      </c>
      <c r="AG899" s="145">
        <f>IF(Y899=[24]Listas!$G$53,AG898-(AG898*AB899),AG898)</f>
        <v>0.28799999999999998</v>
      </c>
      <c r="AH899" s="562"/>
      <c r="AI899" s="305" t="str">
        <f t="shared" si="136"/>
        <v>Menor</v>
      </c>
      <c r="AJ899" s="145">
        <f>IF(Y899=[24]Listas!$G$55,AJ898-(AJ898*AB899),AJ898)</f>
        <v>0.4</v>
      </c>
      <c r="AK899" s="562"/>
      <c r="AL899" s="565"/>
      <c r="AM899" s="565"/>
      <c r="AN899" s="565"/>
      <c r="AO899" s="568"/>
      <c r="AP899" s="571"/>
      <c r="AQ899" s="343"/>
      <c r="AR899" s="191"/>
    </row>
    <row r="900" spans="2:44" ht="15" hidden="1" customHeight="1" thickTop="1" x14ac:dyDescent="0.35">
      <c r="B900" s="537"/>
      <c r="C900" s="560"/>
      <c r="D900" s="610"/>
      <c r="E900" s="577"/>
      <c r="F900" s="580"/>
      <c r="G900" s="583"/>
      <c r="H900" s="655"/>
      <c r="I900" s="589"/>
      <c r="J900" s="589"/>
      <c r="K900" s="592"/>
      <c r="L900" s="589"/>
      <c r="M900" s="595"/>
      <c r="N900" s="598"/>
      <c r="O900" s="601"/>
      <c r="P900" s="595"/>
      <c r="Q900" s="604"/>
      <c r="R900" s="601"/>
      <c r="S900" s="289"/>
      <c r="T900" s="604"/>
      <c r="U900" s="142" t="s">
        <v>223</v>
      </c>
      <c r="V900" s="418"/>
      <c r="W900" s="331"/>
      <c r="X900" s="320" t="str">
        <f>IF(W900=[24]Listas!$B$46,[24]Listas!$C$46,IF(W900=[24]Listas!$B$47,[24]Listas!$C$47,IF(W900=[24]Listas!$B$48,[24]Listas!$C$48,"")))</f>
        <v/>
      </c>
      <c r="Y900" s="321" t="str">
        <f>IF(OR(W900=[24]Listas!$F$53,W900=[24]Listas!$F$54),[24]Listas!$G$53,IF(W900=[24]Listas!$F$55,[24]Listas!$G$55,""))</f>
        <v/>
      </c>
      <c r="Z900" s="331"/>
      <c r="AA900" s="182" t="str">
        <f>+IF(Z900=[24]Listas!$E$46,[24]Listas!$F$46,IF(Z900=[24]Listas!$E$47,[24]Listas!$F$47,""))</f>
        <v/>
      </c>
      <c r="AB900" s="183" t="str">
        <f t="shared" si="138"/>
        <v/>
      </c>
      <c r="AC900" s="319"/>
      <c r="AD900" s="322"/>
      <c r="AE900" s="323"/>
      <c r="AF900" s="305" t="str">
        <f t="shared" si="128"/>
        <v>Baja</v>
      </c>
      <c r="AG900" s="145">
        <f>IF(Y900=[24]Listas!$G$53,AG899-(AG899*AB900),AG899)</f>
        <v>0.28799999999999998</v>
      </c>
      <c r="AH900" s="562"/>
      <c r="AI900" s="305" t="str">
        <f t="shared" si="136"/>
        <v>Menor</v>
      </c>
      <c r="AJ900" s="145">
        <f>IF(Y900=[24]Listas!$G$55,AJ899-(AJ899*AB900),AJ899)</f>
        <v>0.4</v>
      </c>
      <c r="AK900" s="562"/>
      <c r="AL900" s="565"/>
      <c r="AM900" s="565"/>
      <c r="AN900" s="565"/>
      <c r="AO900" s="568"/>
      <c r="AP900" s="571"/>
      <c r="AQ900" s="344"/>
      <c r="AR900" s="191"/>
    </row>
    <row r="901" spans="2:44" ht="15.75" hidden="1" customHeight="1" thickTop="1" x14ac:dyDescent="0.35">
      <c r="B901" s="537"/>
      <c r="C901" s="560"/>
      <c r="D901" s="611"/>
      <c r="E901" s="578"/>
      <c r="F901" s="581"/>
      <c r="G901" s="584"/>
      <c r="H901" s="656"/>
      <c r="I901" s="590"/>
      <c r="J901" s="590"/>
      <c r="K901" s="593"/>
      <c r="L901" s="590"/>
      <c r="M901" s="596"/>
      <c r="N901" s="599"/>
      <c r="O901" s="602"/>
      <c r="P901" s="596"/>
      <c r="Q901" s="605"/>
      <c r="R901" s="602"/>
      <c r="S901" s="293"/>
      <c r="T901" s="605"/>
      <c r="U901" s="202" t="s">
        <v>224</v>
      </c>
      <c r="V901" s="416"/>
      <c r="W901" s="335"/>
      <c r="X901" s="336" t="str">
        <f>IF(W901=[24]Listas!$B$46,[24]Listas!$C$46,IF(W901=[24]Listas!$B$47,[24]Listas!$C$47,IF(W901=[24]Listas!$B$48,[24]Listas!$C$48,"")))</f>
        <v/>
      </c>
      <c r="Y901" s="337" t="str">
        <f>IF(OR(W901=[24]Listas!$F$53,W901=[24]Listas!$F$54),[24]Listas!$G$53,IF(W901=[24]Listas!$F$55,[24]Listas!$G$55,""))</f>
        <v/>
      </c>
      <c r="Z901" s="335"/>
      <c r="AA901" s="186" t="str">
        <f>+IF(Z901=[24]Listas!$E$46,[24]Listas!$F$46,IF(Z901=[24]Listas!$E$47,[24]Listas!$F$47,""))</f>
        <v/>
      </c>
      <c r="AB901" s="187" t="str">
        <f t="shared" si="138"/>
        <v/>
      </c>
      <c r="AC901" s="338"/>
      <c r="AD901" s="339"/>
      <c r="AE901" s="340"/>
      <c r="AF901" s="311" t="str">
        <f t="shared" si="128"/>
        <v>Baja</v>
      </c>
      <c r="AG901" s="179">
        <f>IF(Y901=[24]Listas!$G$53,AG900-(AG900*AB901),AG900)</f>
        <v>0.28799999999999998</v>
      </c>
      <c r="AH901" s="563"/>
      <c r="AI901" s="311" t="str">
        <f t="shared" si="136"/>
        <v>Menor</v>
      </c>
      <c r="AJ901" s="179">
        <f>IF(Y901=[24]Listas!$G$55,AJ900-(AJ900*AB901),AJ900)</f>
        <v>0.4</v>
      </c>
      <c r="AK901" s="563"/>
      <c r="AL901" s="566"/>
      <c r="AM901" s="566"/>
      <c r="AN901" s="566"/>
      <c r="AO901" s="569"/>
      <c r="AP901" s="572"/>
      <c r="AQ901" s="346"/>
      <c r="AR901" s="192"/>
    </row>
    <row r="902" spans="2:44" ht="408.75" customHeight="1" thickTop="1" thickBot="1" x14ac:dyDescent="0.4">
      <c r="B902" s="537"/>
      <c r="C902" s="560"/>
      <c r="D902" s="609" t="s">
        <v>996</v>
      </c>
      <c r="E902" s="576" t="s">
        <v>3</v>
      </c>
      <c r="F902" s="624" t="s">
        <v>997</v>
      </c>
      <c r="G902" s="627" t="s">
        <v>998</v>
      </c>
      <c r="H902" s="627" t="s">
        <v>999</v>
      </c>
      <c r="I902" s="588" t="s">
        <v>20</v>
      </c>
      <c r="J902" s="588" t="s">
        <v>22</v>
      </c>
      <c r="K902" s="591" t="s">
        <v>1000</v>
      </c>
      <c r="L902" s="588" t="s">
        <v>185</v>
      </c>
      <c r="M902" s="594" t="s">
        <v>222</v>
      </c>
      <c r="N902" s="597" t="str">
        <f>+IF(M902="","",IF(M902=$BO$15,$BN$15,IF(M902=$BO$16,$BN$16,IF(M902=$BO$17,$BN$17,IF(M902=$BO$18,$BN$18,IF(M902=$BO$19,$BN$19))))))</f>
        <v>Muy Alta</v>
      </c>
      <c r="O902" s="600">
        <f>+IF(M902="","",IF(M902=$BO$15,$BR$15,IF(M902=$BO$16,$BR$16,IF(M902=$BO$17,$BR$17,IF(M902=$BO$18,$BR$18,IF(M902=$BO$19,$BR$19))))))</f>
        <v>1</v>
      </c>
      <c r="P902" s="594" t="s">
        <v>218</v>
      </c>
      <c r="Q902" s="603" t="str">
        <f>+IF(P902="","",IF(P902='[24]Mapa de Calor inherente'!$AF$6,'[24]Mapa de Calor inherente'!$AD$6,IF(P902='[24]Mapa de Calor inherente'!$AF$7,'[24]Mapa de Calor inherente'!$AD$7,IF(P902='[24]Mapa de Calor inherente'!$AF$8,'[24]Mapa de Calor inherente'!$AD$8,IF(P902='[24]Mapa de Calor inherente'!$AF$9,'[24]Mapa de Calor inherente'!$AD$9,IF(P902='[24]Mapa de Calor inherente'!$AF$10,'[24]Mapa de Calor inherente'!$AD$10,IF(P902='[24]Mapa de Calor inherente'!$AG$6,'[24]Mapa de Calor inherente'!$AD$6,IF(P902='[24]Mapa de Calor inherente'!$AG$7,'[24]Mapa de Calor inherente'!$AD$7,IF(P902='[24]Mapa de Calor inherente'!$AG$8,'[24]Mapa de Calor inherente'!$AD$8,IF(P902='[24]Mapa de Calor inherente'!$AG$9,'[24]Mapa de Calor inherente'!$AD$9,IF(P902='[24]Mapa de Calor inherente'!$AG$10,'[24]Mapa de Calor inherente'!$AD$10,IF(P902='[24]Mapa de Calor inherente'!$AD$8,'[24]Mapa de Calor inherente'!$AD$8,IF(P902='[24]Mapa de Calor inherente'!$AD$9,'[24]Mapa de Calor inherente'!$AD$9,IF(P902='[24]Mapa de Calor inherente'!$AD$10,'[24]Mapa de Calor inherente'!$AD$10))))))))))))))</f>
        <v>Mayor</v>
      </c>
      <c r="R902" s="600">
        <f>+IF(P902="","",IF(P902='[24]Mapa de Calor inherente'!$AF$6,'[24]Mapa de Calor inherente'!$AE$6,IF(P902='[24]Mapa de Calor inherente'!$AF$7,'[24]Mapa de Calor inherente'!$AE$7,IF(P902='[24]Mapa de Calor inherente'!$AF$8,'[24]Mapa de Calor inherente'!$AE$8,IF(P902='[24]Mapa de Calor inherente'!$AF$9,'[24]Mapa de Calor inherente'!$AE$9,IF(P902='[24]Mapa de Calor inherente'!$AF$10,'[24]Mapa de Calor inherente'!$AE$10,IF(P902='[24]Mapa de Calor inherente'!$AG$6,'[24]Mapa de Calor inherente'!$AE$6,IF(P902='[24]Mapa de Calor inherente'!$AG$7,'[24]Mapa de Calor inherente'!$AE$7,IF(P902='[24]Mapa de Calor inherente'!$AG$8,'[24]Mapa de Calor inherente'!$AE$8,IF(P902='[24]Mapa de Calor inherente'!$AG$9,'[24]Mapa de Calor inherente'!$AE$9,IF(P902='[24]Mapa de Calor inherente'!$AG$10,'[24]Mapa de Calor inherente'!$AE$10,IF(P902='[24]Mapa de Calor inherente'!$AD$8,'[24]Mapa de Calor inherente'!$AE$8,IF(P902='[24]Mapa de Calor inherente'!$AD$9,'[24]Mapa de Calor inherente'!$AE$9,IF(P902='[24]Mapa de Calor inherente'!$AD$10,'[24]Mapa de Calor inherente'!$AE$10))))))))))))))</f>
        <v>0.8</v>
      </c>
      <c r="S902" s="292"/>
      <c r="T902" s="603" t="str">
        <f>+IF(N902=$BB$17,IF(Q902=$BC$16,$BC$17,IF(Q902=$BD$16,$BD$17,IF(Q902=$BE$16,$BE$17,IF(Q902=$BF$16,$BF$17,IF(Q902=$BG$16,$BG$17))))),IF(N902=$BB$18,IF(Q902=$BC$16,$BC$18,IF(Q902=$BD$16,$BD$18,IF(Q902=$BE$16,$BE$18,IF(Q902=$BF$16,$BF$18,IF(Q902=$BG$16,$BG$18))))),IF(N902=$BB$19,IF(Q902=$BC$16,$BC$19,IF(Q902=$BD$16,$BD$19,IF(Q902=$BE$16,$BE$19,IF(Q902=$BF$16,$BF$19,IF(Q902=$BG$16,$BG$19))))),IF(N902=$BB$20,IF(Q902=$BC$16,$BC$20,IF(Q902=$BD$16,$BD$20,IF(Q902=$BE$16,$BE$20,IF(Q902=$BF$16,$BF$20,IF(Q902=$BG$16,$BG$20))))),IF(N902=$BB$21,IF(Q902=$BC$16,$BC$21,IF(Q902=$BD$16,$BD$21,IF(Q902=$BE$16,$BE$21,IF(Q902=$BF$16,$BF$21,IF(Q902=$BG$16,$BG$21))))),"")))))</f>
        <v>Alto</v>
      </c>
      <c r="U902" s="139" t="s">
        <v>171</v>
      </c>
      <c r="V902" s="511" t="s">
        <v>1001</v>
      </c>
      <c r="W902" s="313" t="s">
        <v>40</v>
      </c>
      <c r="X902" s="314">
        <f>IF(W902=[24]Listas!$B$46,[24]Listas!$C$46,IF(W902=[24]Listas!$B$47,[24]Listas!$C$47,IF(W902=[24]Listas!$B$48,[24]Listas!$C$48,"")))</f>
        <v>0.25</v>
      </c>
      <c r="Y902" s="315" t="str">
        <f>IF(OR(W902=[24]Listas!$F$53,W902=[24]Listas!$F$54),[24]Listas!$G$53,IF(W902=[24]Listas!$F$55,[24]Listas!$G$55,""))</f>
        <v>Probabilidad</v>
      </c>
      <c r="Z902" s="313" t="s">
        <v>43</v>
      </c>
      <c r="AA902" s="314">
        <f>+IF(Z902=[24]Listas!$E$46,[24]Listas!$F$46,IF(Z902=[24]Listas!$E$47,[24]Listas!$F$47,""))</f>
        <v>0.15</v>
      </c>
      <c r="AB902" s="181">
        <f>IFERROR(X902+AA902,"")</f>
        <v>0.4</v>
      </c>
      <c r="AC902" s="313" t="s">
        <v>57</v>
      </c>
      <c r="AD902" s="316" t="s">
        <v>58</v>
      </c>
      <c r="AE902" s="317" t="s">
        <v>59</v>
      </c>
      <c r="AF902" s="299" t="str">
        <f t="shared" si="128"/>
        <v>Media</v>
      </c>
      <c r="AG902" s="141">
        <f>IF(Y902=[24]Listas!$G$53,O902-(O902*AB902),O902)</f>
        <v>0.6</v>
      </c>
      <c r="AH902" s="561">
        <f>+IF(AG911="","",AG911)</f>
        <v>0.6</v>
      </c>
      <c r="AI902" s="299" t="str">
        <f>IF(AJ902="","",IF(AJ902&lt;=20%,"Leve",IF(AJ902&lt;=40%,"Menor",IF(AJ902&lt;=60%,"Moderado",IF(AJ902&lt;=80%,"Mayor","Catastrófico")))))</f>
        <v>Mayor</v>
      </c>
      <c r="AJ902" s="141">
        <f>IF(Y902=[24]Listas!$G$55,R902-(R902*AB902),R902)</f>
        <v>0.8</v>
      </c>
      <c r="AK902" s="561">
        <f>+IF(AJ911="","",AJ911)</f>
        <v>0.8</v>
      </c>
      <c r="AL902" s="564" t="str">
        <f>+IF(AH902=0,"",IF(AH902&lt;=$BA$21,$BB$21,IF(AH902&lt;=$BA$20,$BB$20,IF(AH902&lt;=$BA$19,$BB$19,IF(AH902&lt;=$BA$18,$BB$18,IF(AH902&lt;=$BA$17,$BB$17,""))))))</f>
        <v>Media</v>
      </c>
      <c r="AM902" s="564" t="str">
        <f>+IF(AK902=0,"",IF(AK902&lt;=$BC$15,$BC$16,IF(AK902&lt;=$BD$15,$BD$16,IF(AK902&lt;=$BE$15,$BE$16,IF(AK902&lt;=$BF$15,$BF$16,IF(AK902&lt;=$BG$15,$BG$16,""))))))</f>
        <v>Mayor</v>
      </c>
      <c r="AN902" s="564" t="str">
        <f>IF(AL902=$BB$17,IF(AM902=$BC$16,$BC$17,IF(AM902=$BD$16,$BD$17,IF(AM902=$BE$16,$BE$17,IF(AM902=$BF$16,$BF$17,IF(AM902=$BG$16,$BG$17))))),IF(AL902=$BB$18,IF(AM902=$BC$16,$BC$18,IF(AM902=$BD$16,$BD$18,IF(AM902=$BE$16,$BE$18,IF(AM902=$BF$16,$BF$18,IF(AM902=$BG$16,$BG$18))))),IF(AL902=$BB$19,IF(AM902=$BC$16,$BC$19,IF(AM902=$BD$16,$BD$19,IF(AM902=$BE$16,$BE$19,IF(AM902=$BF$16,$BF$19,IF(AM902=$BG$16,$BG$19))))),IF(AL902=$BB$20,IF(AM902=$BC$16,$BC$20,IF(AM902=$BD$16,$BD$20,IF(AM902=$BE$16,$BE$20,IF(AM902=$BF$16,$BF$20,IF(AM902=$BG$16,$BG$20))))),IF(AL902=$BB$21,IF(AM902=$BC$16,$BC$21,IF(AM902=$BD$16,$BD$21,IF(AM902=$BE$16,$BE$21,IF(AM902=$BF$16,$BF$21,IF(AM902=$BG$16,$BG$21))))),"")))))</f>
        <v>Alto</v>
      </c>
      <c r="AO902" s="567" t="str">
        <f>IF(AP902="","",IF(AP902=[24]Listas!$F$61,[24]Listas!$G$61,IF(AP902=[24]Listas!$F$63,[24]Listas!$G$63,IF(AP902=[24]Listas!$F$64,[24]Listas!$G$64))))</f>
        <v>Requiere Plan de Acción</v>
      </c>
      <c r="AP902" s="570" t="str">
        <f>IF(AN902="","",IF(OR(AN902=[24]Listas!$E$61,AN902=[24]Listas!$E$62),[24]Listas!$F$61,IF(AN902=[24]Listas!$E$63,[24]Listas!$F$63,IF(AN902=[24]Listas!$E$64,[24]Listas!$F$64))))</f>
        <v>Reducir, evitar, compartir o transferir el riesgo</v>
      </c>
      <c r="AQ902" s="342" t="s">
        <v>80</v>
      </c>
      <c r="AR902" s="271" t="s">
        <v>1002</v>
      </c>
    </row>
    <row r="903" spans="2:44" ht="99" customHeight="1" thickTop="1" thickBot="1" x14ac:dyDescent="0.4">
      <c r="B903" s="537"/>
      <c r="C903" s="560"/>
      <c r="D903" s="610"/>
      <c r="E903" s="577"/>
      <c r="F903" s="625"/>
      <c r="G903" s="628"/>
      <c r="H903" s="628"/>
      <c r="I903" s="589"/>
      <c r="J903" s="589"/>
      <c r="K903" s="592"/>
      <c r="L903" s="589"/>
      <c r="M903" s="595"/>
      <c r="N903" s="598"/>
      <c r="O903" s="601"/>
      <c r="P903" s="595"/>
      <c r="Q903" s="604"/>
      <c r="R903" s="601"/>
      <c r="S903" s="286"/>
      <c r="T903" s="604"/>
      <c r="U903" s="142" t="s">
        <v>174</v>
      </c>
      <c r="V903" s="415"/>
      <c r="W903" s="319"/>
      <c r="X903" s="320" t="str">
        <f>IF(W903=[24]Listas!$B$46,[24]Listas!$C$46,IF(W903=[24]Listas!$B$47,[24]Listas!$C$47,IF(W903=[24]Listas!$B$48,[24]Listas!$C$48,"")))</f>
        <v/>
      </c>
      <c r="Y903" s="321" t="str">
        <f>IF(OR(W903=[24]Listas!$F$53,W903=[24]Listas!$F$54),[24]Listas!$G$53,IF(W903=[24]Listas!$F$55,[24]Listas!$G$55,""))</f>
        <v/>
      </c>
      <c r="Z903" s="319"/>
      <c r="AA903" s="182" t="str">
        <f>+IF(Z903=[24]Listas!$E$46,[24]Listas!$F$46,IF(Z903=[24]Listas!$E$47,[24]Listas!$F$47,""))</f>
        <v/>
      </c>
      <c r="AB903" s="183" t="str">
        <f>IFERROR(X903+AA903,"")</f>
        <v/>
      </c>
      <c r="AC903" s="319"/>
      <c r="AD903" s="322"/>
      <c r="AE903" s="323"/>
      <c r="AF903" s="305" t="str">
        <f t="shared" si="128"/>
        <v>Media</v>
      </c>
      <c r="AG903" s="145">
        <f>IF(Y903=[24]Listas!$G$53,AG902-(AG902*AB903),AG902)</f>
        <v>0.6</v>
      </c>
      <c r="AH903" s="562"/>
      <c r="AI903" s="305" t="str">
        <f t="shared" si="136"/>
        <v>Mayor</v>
      </c>
      <c r="AJ903" s="145">
        <f>IF(Y903=[24]Listas!$G$55,AJ902-(AJ902*AB903),AJ902)</f>
        <v>0.8</v>
      </c>
      <c r="AK903" s="562"/>
      <c r="AL903" s="565"/>
      <c r="AM903" s="565"/>
      <c r="AN903" s="565"/>
      <c r="AO903" s="568"/>
      <c r="AP903" s="571"/>
      <c r="AQ903" s="344" t="s">
        <v>85</v>
      </c>
      <c r="AR903" s="272" t="s">
        <v>1003</v>
      </c>
    </row>
    <row r="904" spans="2:44" ht="78.650000000000006" customHeight="1" thickTop="1" thickBot="1" x14ac:dyDescent="0.4">
      <c r="B904" s="537"/>
      <c r="C904" s="560"/>
      <c r="D904" s="610"/>
      <c r="E904" s="577"/>
      <c r="F904" s="625"/>
      <c r="G904" s="628"/>
      <c r="H904" s="628"/>
      <c r="I904" s="589"/>
      <c r="J904" s="589"/>
      <c r="K904" s="592"/>
      <c r="L904" s="589"/>
      <c r="M904" s="595"/>
      <c r="N904" s="598"/>
      <c r="O904" s="601"/>
      <c r="P904" s="595"/>
      <c r="Q904" s="604"/>
      <c r="R904" s="601"/>
      <c r="S904" s="287"/>
      <c r="T904" s="604"/>
      <c r="U904" s="142" t="s">
        <v>180</v>
      </c>
      <c r="V904" s="415"/>
      <c r="W904" s="319"/>
      <c r="X904" s="320" t="str">
        <f>IF(W904=[24]Listas!$B$46,[24]Listas!$C$46,IF(W904=[24]Listas!$B$47,[24]Listas!$C$47,IF(W904=[24]Listas!$B$48,[24]Listas!$C$48,"")))</f>
        <v/>
      </c>
      <c r="Y904" s="321" t="str">
        <f>IF(OR(W904=[24]Listas!$F$53,W904=[24]Listas!$F$54),[24]Listas!$G$53,IF(W904=[24]Listas!$F$55,[24]Listas!$G$55,""))</f>
        <v/>
      </c>
      <c r="Z904" s="319"/>
      <c r="AA904" s="182" t="str">
        <f>+IF(Z904=[24]Listas!$E$46,[24]Listas!$F$46,IF(Z904=[24]Listas!$E$47,[24]Listas!$F$47,""))</f>
        <v/>
      </c>
      <c r="AB904" s="183" t="str">
        <f>IFERROR(X904+AA904,"")</f>
        <v/>
      </c>
      <c r="AC904" s="319"/>
      <c r="AD904" s="322"/>
      <c r="AE904" s="323"/>
      <c r="AF904" s="305" t="str">
        <f t="shared" si="128"/>
        <v>Media</v>
      </c>
      <c r="AG904" s="145">
        <f>IF(Y904=[24]Listas!$G$53,AG903-(AG903*AB904),AG903)</f>
        <v>0.6</v>
      </c>
      <c r="AH904" s="562"/>
      <c r="AI904" s="305" t="str">
        <f t="shared" si="136"/>
        <v>Mayor</v>
      </c>
      <c r="AJ904" s="145">
        <f>IF(Y904=[24]Listas!$G$55,AJ903-(AJ903*AB904),AJ903)</f>
        <v>0.8</v>
      </c>
      <c r="AK904" s="562"/>
      <c r="AL904" s="565"/>
      <c r="AM904" s="565"/>
      <c r="AN904" s="565"/>
      <c r="AO904" s="568"/>
      <c r="AP904" s="571"/>
      <c r="AQ904" s="344" t="s">
        <v>85</v>
      </c>
      <c r="AR904" s="272" t="s">
        <v>1004</v>
      </c>
    </row>
    <row r="905" spans="2:44" ht="198" customHeight="1" thickTop="1" thickBot="1" x14ac:dyDescent="0.4">
      <c r="B905" s="537"/>
      <c r="C905" s="560"/>
      <c r="D905" s="610"/>
      <c r="E905" s="577"/>
      <c r="F905" s="625"/>
      <c r="G905" s="628"/>
      <c r="H905" s="628"/>
      <c r="I905" s="589"/>
      <c r="J905" s="589"/>
      <c r="K905" s="592"/>
      <c r="L905" s="589"/>
      <c r="M905" s="595"/>
      <c r="N905" s="598"/>
      <c r="O905" s="601"/>
      <c r="P905" s="595"/>
      <c r="Q905" s="604"/>
      <c r="R905" s="601"/>
      <c r="S905" s="287"/>
      <c r="T905" s="604"/>
      <c r="U905" s="142" t="s">
        <v>190</v>
      </c>
      <c r="V905" s="415"/>
      <c r="W905" s="319"/>
      <c r="X905" s="320" t="str">
        <f>IF(W905=[24]Listas!$B$46,[24]Listas!$C$46,IF(W905=[24]Listas!$B$47,[24]Listas!$C$47,IF(W905=[24]Listas!$B$48,[24]Listas!$C$48,"")))</f>
        <v/>
      </c>
      <c r="Y905" s="321" t="str">
        <f>IF(OR(W905=[24]Listas!$F$53,W905=[24]Listas!$F$54),[24]Listas!$G$53,IF(W905=[24]Listas!$F$55,[24]Listas!$G$55,""))</f>
        <v/>
      </c>
      <c r="Z905" s="319"/>
      <c r="AA905" s="182" t="str">
        <f>+IF(Z905=[24]Listas!$E$46,[24]Listas!$F$46,IF(Z905=[24]Listas!$E$47,[24]Listas!$F$47,""))</f>
        <v/>
      </c>
      <c r="AB905" s="183" t="str">
        <f t="shared" ref="AB905:AB911" si="139">IFERROR(X905+AA905,"")</f>
        <v/>
      </c>
      <c r="AC905" s="319"/>
      <c r="AD905" s="322"/>
      <c r="AE905" s="323"/>
      <c r="AF905" s="305" t="str">
        <f t="shared" si="128"/>
        <v>Media</v>
      </c>
      <c r="AG905" s="145">
        <f>IF(Y905=[24]Listas!$G$53,AG904-(AG904*AB905),AG904)</f>
        <v>0.6</v>
      </c>
      <c r="AH905" s="562"/>
      <c r="AI905" s="305" t="str">
        <f t="shared" si="136"/>
        <v>Mayor</v>
      </c>
      <c r="AJ905" s="145">
        <f>IF(Y905=[24]Listas!$G$55,AJ904-(AJ904*AB905),AJ904)</f>
        <v>0.8</v>
      </c>
      <c r="AK905" s="562"/>
      <c r="AL905" s="565"/>
      <c r="AM905" s="565"/>
      <c r="AN905" s="565"/>
      <c r="AO905" s="568"/>
      <c r="AP905" s="571"/>
      <c r="AQ905" s="344" t="s">
        <v>80</v>
      </c>
      <c r="AR905" s="273" t="s">
        <v>1005</v>
      </c>
    </row>
    <row r="906" spans="2:44" ht="55.5" customHeight="1" thickTop="1" thickBot="1" x14ac:dyDescent="0.4">
      <c r="B906" s="537"/>
      <c r="C906" s="560"/>
      <c r="D906" s="610"/>
      <c r="E906" s="577"/>
      <c r="F906" s="625"/>
      <c r="G906" s="628"/>
      <c r="H906" s="628"/>
      <c r="I906" s="589"/>
      <c r="J906" s="589"/>
      <c r="K906" s="592"/>
      <c r="L906" s="589"/>
      <c r="M906" s="595"/>
      <c r="N906" s="598"/>
      <c r="O906" s="601"/>
      <c r="P906" s="595"/>
      <c r="Q906" s="604"/>
      <c r="R906" s="601"/>
      <c r="S906" s="287"/>
      <c r="T906" s="604"/>
      <c r="U906" s="142" t="s">
        <v>198</v>
      </c>
      <c r="V906" s="415"/>
      <c r="W906" s="319"/>
      <c r="X906" s="320" t="str">
        <f>IF(W906=[24]Listas!$B$46,[24]Listas!$C$46,IF(W906=[24]Listas!$B$47,[24]Listas!$C$47,IF(W906=[24]Listas!$B$48,[24]Listas!$C$48,"")))</f>
        <v/>
      </c>
      <c r="Y906" s="321" t="str">
        <f>IF(OR(W906=[24]Listas!$F$53,W906=[24]Listas!$F$54),[24]Listas!$G$53,IF(W906=[24]Listas!$F$55,[24]Listas!$G$55,""))</f>
        <v/>
      </c>
      <c r="Z906" s="319"/>
      <c r="AA906" s="182" t="str">
        <f>+IF(Z906=[24]Listas!$E$46,[24]Listas!$F$46,IF(Z906=[24]Listas!$E$47,[24]Listas!$F$47,""))</f>
        <v/>
      </c>
      <c r="AB906" s="183" t="str">
        <f t="shared" si="139"/>
        <v/>
      </c>
      <c r="AC906" s="319"/>
      <c r="AD906" s="322"/>
      <c r="AE906" s="323"/>
      <c r="AF906" s="305" t="str">
        <f t="shared" si="128"/>
        <v>Media</v>
      </c>
      <c r="AG906" s="145">
        <f>IF(Y906=[24]Listas!$G$53,AG905-(AG905*AB906),AG905)</f>
        <v>0.6</v>
      </c>
      <c r="AH906" s="562"/>
      <c r="AI906" s="305" t="str">
        <f t="shared" si="136"/>
        <v>Mayor</v>
      </c>
      <c r="AJ906" s="145">
        <f>IF(Y906=[24]Listas!$G$55,AJ905-(AJ905*AB906),AJ905)</f>
        <v>0.8</v>
      </c>
      <c r="AK906" s="562"/>
      <c r="AL906" s="565"/>
      <c r="AM906" s="565"/>
      <c r="AN906" s="565"/>
      <c r="AO906" s="568"/>
      <c r="AP906" s="571"/>
      <c r="AQ906" s="344" t="s">
        <v>90</v>
      </c>
      <c r="AR906" s="207" t="s">
        <v>1006</v>
      </c>
    </row>
    <row r="907" spans="2:44" ht="16" hidden="1" customHeight="1" thickBot="1" x14ac:dyDescent="0.4">
      <c r="B907" s="537"/>
      <c r="C907" s="560"/>
      <c r="D907" s="610"/>
      <c r="E907" s="577"/>
      <c r="F907" s="625"/>
      <c r="G907" s="628"/>
      <c r="H907" s="628"/>
      <c r="I907" s="589"/>
      <c r="J907" s="589"/>
      <c r="K907" s="592"/>
      <c r="L907" s="589"/>
      <c r="M907" s="595"/>
      <c r="N907" s="598"/>
      <c r="O907" s="601"/>
      <c r="P907" s="595"/>
      <c r="Q907" s="604"/>
      <c r="R907" s="601"/>
      <c r="S907" s="288"/>
      <c r="T907" s="604"/>
      <c r="U907" s="142" t="s">
        <v>208</v>
      </c>
      <c r="V907" s="415"/>
      <c r="W907" s="319"/>
      <c r="X907" s="320" t="str">
        <f>IF(W907=[24]Listas!$B$46,[24]Listas!$C$46,IF(W907=[24]Listas!$B$47,[24]Listas!$C$47,IF(W907=[24]Listas!$B$48,[24]Listas!$C$48,"")))</f>
        <v/>
      </c>
      <c r="Y907" s="321" t="str">
        <f>IF(OR(W907=[24]Listas!$F$53,W907=[24]Listas!$F$54),[24]Listas!$G$53,IF(W907=[24]Listas!$F$55,[24]Listas!$G$55,""))</f>
        <v/>
      </c>
      <c r="Z907" s="319"/>
      <c r="AA907" s="182" t="str">
        <f>+IF(Z907=[24]Listas!$E$46,[24]Listas!$F$46,IF(Z907=[24]Listas!$E$47,[24]Listas!$F$47,""))</f>
        <v/>
      </c>
      <c r="AB907" s="183" t="str">
        <f t="shared" si="139"/>
        <v/>
      </c>
      <c r="AC907" s="319"/>
      <c r="AD907" s="322"/>
      <c r="AE907" s="323"/>
      <c r="AF907" s="305" t="str">
        <f t="shared" si="128"/>
        <v>Media</v>
      </c>
      <c r="AG907" s="145">
        <f>IF(Y907=[24]Listas!$G$53,AG906-(AG906*AB907),AG906)</f>
        <v>0.6</v>
      </c>
      <c r="AH907" s="562"/>
      <c r="AI907" s="305" t="str">
        <f t="shared" si="136"/>
        <v>Mayor</v>
      </c>
      <c r="AJ907" s="145">
        <f>IF(Y907=[24]Listas!$G$55,AJ906-(AJ906*AB907),AJ906)</f>
        <v>0.8</v>
      </c>
      <c r="AK907" s="562"/>
      <c r="AL907" s="565"/>
      <c r="AM907" s="565"/>
      <c r="AN907" s="565"/>
      <c r="AO907" s="568"/>
      <c r="AP907" s="571"/>
      <c r="AQ907" s="344"/>
      <c r="AR907" s="199"/>
    </row>
    <row r="908" spans="2:44" ht="15.65" hidden="1" customHeight="1" thickTop="1" thickBot="1" x14ac:dyDescent="0.4">
      <c r="B908" s="537"/>
      <c r="C908" s="560"/>
      <c r="D908" s="610"/>
      <c r="E908" s="577"/>
      <c r="F908" s="625"/>
      <c r="G908" s="628"/>
      <c r="H908" s="628"/>
      <c r="I908" s="589"/>
      <c r="J908" s="589"/>
      <c r="K908" s="592"/>
      <c r="L908" s="589"/>
      <c r="M908" s="595"/>
      <c r="N908" s="598"/>
      <c r="O908" s="601"/>
      <c r="P908" s="595"/>
      <c r="Q908" s="604"/>
      <c r="R908" s="601"/>
      <c r="S908" s="289"/>
      <c r="T908" s="604"/>
      <c r="U908" s="142" t="s">
        <v>215</v>
      </c>
      <c r="V908" s="418"/>
      <c r="W908" s="331"/>
      <c r="X908" s="320" t="str">
        <f>IF(W908=[24]Listas!$B$46,[24]Listas!$C$46,IF(W908=[24]Listas!$B$47,[24]Listas!$C$47,IF(W908=[24]Listas!$B$48,[24]Listas!$C$48,"")))</f>
        <v/>
      </c>
      <c r="Y908" s="321" t="str">
        <f>IF(OR(W908=[24]Listas!$F$53,W908=[24]Listas!$F$54),[24]Listas!$G$53,IF(W908=[24]Listas!$F$55,[24]Listas!$G$55,""))</f>
        <v/>
      </c>
      <c r="Z908" s="331"/>
      <c r="AA908" s="182" t="str">
        <f>+IF(Z908=[24]Listas!$E$46,[24]Listas!$F$46,IF(Z908=[24]Listas!$E$47,[24]Listas!$F$47,""))</f>
        <v/>
      </c>
      <c r="AB908" s="183" t="str">
        <f t="shared" si="139"/>
        <v/>
      </c>
      <c r="AC908" s="319"/>
      <c r="AD908" s="322"/>
      <c r="AE908" s="323"/>
      <c r="AF908" s="305" t="str">
        <f t="shared" ref="AF908:AF971" si="140">IF(AG908="","",IF(AG908&lt;=20%,"Muy baja",IF(AG908&lt;=40%,"Baja",IF(AG908&lt;=60%,"Media",IF(AG908&lt;=80%,"Alta","Muy alta")))))</f>
        <v>Media</v>
      </c>
      <c r="AG908" s="145">
        <f>IF(Y908=[24]Listas!$G$53,AG907-(AG907*AB908),AG907)</f>
        <v>0.6</v>
      </c>
      <c r="AH908" s="562"/>
      <c r="AI908" s="305" t="str">
        <f t="shared" si="136"/>
        <v>Mayor</v>
      </c>
      <c r="AJ908" s="145">
        <f>IF(Y908=[24]Listas!$G$55,AJ907-(AJ907*AB908),AJ907)</f>
        <v>0.8</v>
      </c>
      <c r="AK908" s="562"/>
      <c r="AL908" s="565"/>
      <c r="AM908" s="565"/>
      <c r="AN908" s="565"/>
      <c r="AO908" s="568"/>
      <c r="AP908" s="571"/>
      <c r="AQ908" s="344"/>
      <c r="AR908" s="191"/>
    </row>
    <row r="909" spans="2:44" ht="15.65" hidden="1" customHeight="1" thickTop="1" thickBot="1" x14ac:dyDescent="0.4">
      <c r="B909" s="537"/>
      <c r="C909" s="560"/>
      <c r="D909" s="610"/>
      <c r="E909" s="577"/>
      <c r="F909" s="625"/>
      <c r="G909" s="628"/>
      <c r="H909" s="628"/>
      <c r="I909" s="589"/>
      <c r="J909" s="589"/>
      <c r="K909" s="592"/>
      <c r="L909" s="589"/>
      <c r="M909" s="595"/>
      <c r="N909" s="598"/>
      <c r="O909" s="601"/>
      <c r="P909" s="595"/>
      <c r="Q909" s="604"/>
      <c r="R909" s="601"/>
      <c r="S909" s="289"/>
      <c r="T909" s="604"/>
      <c r="U909" s="142" t="s">
        <v>220</v>
      </c>
      <c r="V909" s="418"/>
      <c r="W909" s="331"/>
      <c r="X909" s="320" t="str">
        <f>IF(W909=[24]Listas!$B$46,[24]Listas!$C$46,IF(W909=[24]Listas!$B$47,[24]Listas!$C$47,IF(W909=[24]Listas!$B$48,[24]Listas!$C$48,"")))</f>
        <v/>
      </c>
      <c r="Y909" s="321" t="str">
        <f>IF(OR(W909=[24]Listas!$F$53,W909=[24]Listas!$F$54),[24]Listas!$G$53,IF(W909=[24]Listas!$F$55,[24]Listas!$G$55,""))</f>
        <v/>
      </c>
      <c r="Z909" s="331"/>
      <c r="AA909" s="182" t="str">
        <f>+IF(Z909=[24]Listas!$E$46,[24]Listas!$F$46,IF(Z909=[24]Listas!$E$47,[24]Listas!$F$47,""))</f>
        <v/>
      </c>
      <c r="AB909" s="183" t="str">
        <f t="shared" si="139"/>
        <v/>
      </c>
      <c r="AC909" s="319"/>
      <c r="AD909" s="322"/>
      <c r="AE909" s="323"/>
      <c r="AF909" s="305" t="str">
        <f t="shared" si="140"/>
        <v>Media</v>
      </c>
      <c r="AG909" s="145">
        <f>IF(Y909=[24]Listas!$G$53,AG908-(AG908*AB909),AG908)</f>
        <v>0.6</v>
      </c>
      <c r="AH909" s="562"/>
      <c r="AI909" s="305" t="str">
        <f t="shared" si="136"/>
        <v>Mayor</v>
      </c>
      <c r="AJ909" s="145">
        <f>IF(Y909=[24]Listas!$G$55,AJ908-(AJ908*AB909),AJ908)</f>
        <v>0.8</v>
      </c>
      <c r="AK909" s="562"/>
      <c r="AL909" s="565"/>
      <c r="AM909" s="565"/>
      <c r="AN909" s="565"/>
      <c r="AO909" s="568"/>
      <c r="AP909" s="571"/>
      <c r="AQ909" s="344"/>
      <c r="AR909" s="191"/>
    </row>
    <row r="910" spans="2:44" ht="15.65" hidden="1" customHeight="1" thickTop="1" thickBot="1" x14ac:dyDescent="0.4">
      <c r="B910" s="537"/>
      <c r="C910" s="560"/>
      <c r="D910" s="610"/>
      <c r="E910" s="577"/>
      <c r="F910" s="625"/>
      <c r="G910" s="628"/>
      <c r="H910" s="628"/>
      <c r="I910" s="589"/>
      <c r="J910" s="589"/>
      <c r="K910" s="592"/>
      <c r="L910" s="589"/>
      <c r="M910" s="595"/>
      <c r="N910" s="598"/>
      <c r="O910" s="601"/>
      <c r="P910" s="595"/>
      <c r="Q910" s="604"/>
      <c r="R910" s="601"/>
      <c r="S910" s="289"/>
      <c r="T910" s="604"/>
      <c r="U910" s="142" t="s">
        <v>223</v>
      </c>
      <c r="V910" s="418"/>
      <c r="W910" s="331"/>
      <c r="X910" s="320" t="str">
        <f>IF(W910=[24]Listas!$B$46,[24]Listas!$C$46,IF(W910=[24]Listas!$B$47,[24]Listas!$C$47,IF(W910=[24]Listas!$B$48,[24]Listas!$C$48,"")))</f>
        <v/>
      </c>
      <c r="Y910" s="321" t="str">
        <f>IF(OR(W910=[24]Listas!$F$53,W910=[24]Listas!$F$54),[24]Listas!$G$53,IF(W910=[24]Listas!$F$55,[24]Listas!$G$55,""))</f>
        <v/>
      </c>
      <c r="Z910" s="331"/>
      <c r="AA910" s="182" t="str">
        <f>+IF(Z910=[24]Listas!$E$46,[24]Listas!$F$46,IF(Z910=[24]Listas!$E$47,[24]Listas!$F$47,""))</f>
        <v/>
      </c>
      <c r="AB910" s="183" t="str">
        <f t="shared" si="139"/>
        <v/>
      </c>
      <c r="AC910" s="319"/>
      <c r="AD910" s="322"/>
      <c r="AE910" s="323"/>
      <c r="AF910" s="305" t="str">
        <f t="shared" si="140"/>
        <v>Media</v>
      </c>
      <c r="AG910" s="145">
        <f>IF(Y910=[24]Listas!$G$53,AG909-(AG909*AB910),AG909)</f>
        <v>0.6</v>
      </c>
      <c r="AH910" s="562"/>
      <c r="AI910" s="305" t="str">
        <f t="shared" si="136"/>
        <v>Mayor</v>
      </c>
      <c r="AJ910" s="145">
        <f>IF(Y910=[24]Listas!$G$55,AJ909-(AJ909*AB910),AJ909)</f>
        <v>0.8</v>
      </c>
      <c r="AK910" s="562"/>
      <c r="AL910" s="565"/>
      <c r="AM910" s="565"/>
      <c r="AN910" s="565"/>
      <c r="AO910" s="568"/>
      <c r="AP910" s="571"/>
      <c r="AQ910" s="344"/>
      <c r="AR910" s="191"/>
    </row>
    <row r="911" spans="2:44" ht="16" hidden="1" customHeight="1" thickTop="1" thickBot="1" x14ac:dyDescent="0.4">
      <c r="B911" s="537"/>
      <c r="C911" s="560"/>
      <c r="D911" s="611"/>
      <c r="E911" s="578"/>
      <c r="F911" s="626"/>
      <c r="G911" s="629"/>
      <c r="H911" s="629"/>
      <c r="I911" s="590"/>
      <c r="J911" s="590"/>
      <c r="K911" s="593"/>
      <c r="L911" s="590"/>
      <c r="M911" s="596"/>
      <c r="N911" s="599"/>
      <c r="O911" s="602"/>
      <c r="P911" s="596"/>
      <c r="Q911" s="605"/>
      <c r="R911" s="602"/>
      <c r="S911" s="293"/>
      <c r="T911" s="605"/>
      <c r="U911" s="202" t="s">
        <v>224</v>
      </c>
      <c r="V911" s="416"/>
      <c r="W911" s="335"/>
      <c r="X911" s="336" t="str">
        <f>IF(W911=[24]Listas!$B$46,[24]Listas!$C$46,IF(W911=[24]Listas!$B$47,[24]Listas!$C$47,IF(W911=[24]Listas!$B$48,[24]Listas!$C$48,"")))</f>
        <v/>
      </c>
      <c r="Y911" s="337" t="str">
        <f>IF(OR(W911=[24]Listas!$F$53,W911=[24]Listas!$F$54),[24]Listas!$G$53,IF(W911=[24]Listas!$F$55,[24]Listas!$G$55,""))</f>
        <v/>
      </c>
      <c r="Z911" s="335"/>
      <c r="AA911" s="186" t="str">
        <f>+IF(Z911=[24]Listas!$E$46,[24]Listas!$F$46,IF(Z911=[24]Listas!$E$47,[24]Listas!$F$47,""))</f>
        <v/>
      </c>
      <c r="AB911" s="187" t="str">
        <f t="shared" si="139"/>
        <v/>
      </c>
      <c r="AC911" s="338"/>
      <c r="AD911" s="339"/>
      <c r="AE911" s="340"/>
      <c r="AF911" s="311" t="str">
        <f t="shared" si="140"/>
        <v>Media</v>
      </c>
      <c r="AG911" s="179">
        <f>IF(Y911=[24]Listas!$G$53,AG910-(AG910*AB911),AG910)</f>
        <v>0.6</v>
      </c>
      <c r="AH911" s="563"/>
      <c r="AI911" s="311" t="str">
        <f t="shared" si="136"/>
        <v>Mayor</v>
      </c>
      <c r="AJ911" s="179">
        <f>IF(Y911=[24]Listas!$G$55,AJ910-(AJ910*AB911),AJ910)</f>
        <v>0.8</v>
      </c>
      <c r="AK911" s="563"/>
      <c r="AL911" s="566"/>
      <c r="AM911" s="566"/>
      <c r="AN911" s="566"/>
      <c r="AO911" s="569"/>
      <c r="AP911" s="572"/>
      <c r="AQ911" s="346"/>
      <c r="AR911" s="192"/>
    </row>
    <row r="912" spans="2:44" ht="264.64999999999998" customHeight="1" thickTop="1" thickBot="1" x14ac:dyDescent="0.4">
      <c r="B912" s="537"/>
      <c r="C912" s="560"/>
      <c r="D912" s="609" t="s">
        <v>1007</v>
      </c>
      <c r="E912" s="576" t="s">
        <v>3</v>
      </c>
      <c r="F912" s="579" t="s">
        <v>1008</v>
      </c>
      <c r="G912" s="582" t="s">
        <v>1009</v>
      </c>
      <c r="H912" s="654" t="s">
        <v>999</v>
      </c>
      <c r="I912" s="588" t="s">
        <v>28</v>
      </c>
      <c r="J912" s="588" t="s">
        <v>22</v>
      </c>
      <c r="K912" s="591" t="s">
        <v>1010</v>
      </c>
      <c r="L912" s="588" t="s">
        <v>185</v>
      </c>
      <c r="M912" s="594" t="s">
        <v>214</v>
      </c>
      <c r="N912" s="597" t="str">
        <f>+IF(M912="","",IF(M912=$BO$15,$BN$15,IF(M912=$BO$16,$BN$16,IF(M912=$BO$17,$BN$17,IF(M912=$BO$18,$BN$18,IF(M912=$BO$19,$BN$19))))))</f>
        <v>Media</v>
      </c>
      <c r="O912" s="600">
        <f>+IF(M912="","",IF(M912=$BO$15,$BR$15,IF(M912=$BO$16,$BR$16,IF(M912=$BO$17,$BR$17,IF(M912=$BO$18,$BR$18,IF(M912=$BO$19,$BR$19))))))</f>
        <v>0.6</v>
      </c>
      <c r="P912" s="594" t="s">
        <v>218</v>
      </c>
      <c r="Q912" s="603" t="str">
        <f>+IF(P912="","",IF(P912='[24]Mapa de Calor inherente'!$AF$6,'[24]Mapa de Calor inherente'!$AD$6,IF(P912='[24]Mapa de Calor inherente'!$AF$7,'[24]Mapa de Calor inherente'!$AD$7,IF(P912='[24]Mapa de Calor inherente'!$AF$8,'[24]Mapa de Calor inherente'!$AD$8,IF(P912='[24]Mapa de Calor inherente'!$AF$9,'[24]Mapa de Calor inherente'!$AD$9,IF(P912='[24]Mapa de Calor inherente'!$AF$10,'[24]Mapa de Calor inherente'!$AD$10,IF(P912='[24]Mapa de Calor inherente'!$AG$6,'[24]Mapa de Calor inherente'!$AD$6,IF(P912='[24]Mapa de Calor inherente'!$AG$7,'[24]Mapa de Calor inherente'!$AD$7,IF(P912='[24]Mapa de Calor inherente'!$AG$8,'[24]Mapa de Calor inherente'!$AD$8,IF(P912='[24]Mapa de Calor inherente'!$AG$9,'[24]Mapa de Calor inherente'!$AD$9,IF(P912='[24]Mapa de Calor inherente'!$AG$10,'[24]Mapa de Calor inherente'!$AD$10,IF(P912='[24]Mapa de Calor inherente'!$AD$8,'[24]Mapa de Calor inherente'!$AD$8,IF(P912='[24]Mapa de Calor inherente'!$AD$9,'[24]Mapa de Calor inherente'!$AD$9,IF(P912='[24]Mapa de Calor inherente'!$AD$10,'[24]Mapa de Calor inherente'!$AD$10))))))))))))))</f>
        <v>Mayor</v>
      </c>
      <c r="R912" s="600">
        <f>+IF(P912="","",IF(P912='[24]Mapa de Calor inherente'!$AF$6,'[24]Mapa de Calor inherente'!$AE$6,IF(P912='[24]Mapa de Calor inherente'!$AF$7,'[24]Mapa de Calor inherente'!$AE$7,IF(P912='[24]Mapa de Calor inherente'!$AF$8,'[24]Mapa de Calor inherente'!$AE$8,IF(P912='[24]Mapa de Calor inherente'!$AF$9,'[24]Mapa de Calor inherente'!$AE$9,IF(P912='[24]Mapa de Calor inherente'!$AF$10,'[24]Mapa de Calor inherente'!$AE$10,IF(P912='[24]Mapa de Calor inherente'!$AG$6,'[24]Mapa de Calor inherente'!$AE$6,IF(P912='[24]Mapa de Calor inherente'!$AG$7,'[24]Mapa de Calor inherente'!$AE$7,IF(P912='[24]Mapa de Calor inherente'!$AG$8,'[24]Mapa de Calor inherente'!$AE$8,IF(P912='[24]Mapa de Calor inherente'!$AG$9,'[24]Mapa de Calor inherente'!$AE$9,IF(P912='[24]Mapa de Calor inherente'!$AG$10,'[24]Mapa de Calor inherente'!$AE$10,IF(P912='[24]Mapa de Calor inherente'!$AD$8,'[24]Mapa de Calor inherente'!$AE$8,IF(P912='[24]Mapa de Calor inherente'!$AD$9,'[24]Mapa de Calor inherente'!$AE$9,IF(P912='[24]Mapa de Calor inherente'!$AD$10,'[24]Mapa de Calor inherente'!$AE$10))))))))))))))</f>
        <v>0.8</v>
      </c>
      <c r="S912" s="292" t="e">
        <f>IF(N912="","",IF(R912="","",(N912*R912)))</f>
        <v>#VALUE!</v>
      </c>
      <c r="T912" s="603" t="str">
        <f>+IF(N912=$BB$17,IF(Q912=$BC$16,$BC$17,IF(Q912=$BD$16,$BD$17,IF(Q912=$BE$16,$BE$17,IF(Q912=$BF$16,$BF$17,IF(Q912=$BG$16,$BG$17))))),IF(N912=$BB$18,IF(Q912=$BC$16,$BC$18,IF(Q912=$BD$16,$BD$18,IF(Q912=$BE$16,$BE$18,IF(Q912=$BF$16,$BF$18,IF(Q912=$BG$16,$BG$18))))),IF(N912=$BB$19,IF(Q912=$BC$16,$BC$19,IF(Q912=$BD$16,$BD$19,IF(Q912=$BE$16,$BE$19,IF(Q912=$BF$16,$BF$19,IF(Q912=$BG$16,$BG$19))))),IF(N912=$BB$20,IF(Q912=$BC$16,$BC$20,IF(Q912=$BD$16,$BD$20,IF(Q912=$BE$16,$BE$20,IF(Q912=$BF$16,$BF$20,IF(Q912=$BG$16,$BG$20))))),IF(N912=$BB$21,IF(Q912=$BC$16,$BC$21,IF(Q912=$BD$16,$BD$21,IF(Q912=$BE$16,$BE$21,IF(Q912=$BF$16,$BF$21,IF(Q912=$BG$16,$BG$21))))),"")))))</f>
        <v>Alto</v>
      </c>
      <c r="U912" s="139" t="s">
        <v>171</v>
      </c>
      <c r="V912" s="518" t="s">
        <v>1011</v>
      </c>
      <c r="W912" s="313" t="s">
        <v>40</v>
      </c>
      <c r="X912" s="314">
        <f>IF(W912=[24]Listas!$B$46,[24]Listas!$C$46,IF(W912=[24]Listas!$B$47,[24]Listas!$C$47,IF(W912=[24]Listas!$B$48,[24]Listas!$C$48,"")))</f>
        <v>0.25</v>
      </c>
      <c r="Y912" s="315" t="str">
        <f>IF(OR(W912=[24]Listas!$F$53,W912=[24]Listas!$F$54),[24]Listas!$G$53,IF(W912=[24]Listas!$F$55,[24]Listas!$G$55,""))</f>
        <v>Probabilidad</v>
      </c>
      <c r="Z912" s="313" t="s">
        <v>43</v>
      </c>
      <c r="AA912" s="314">
        <f>+IF(Z912=[24]Listas!$E$46,[24]Listas!$F$46,IF(Z912=[24]Listas!$E$47,[24]Listas!$F$47,""))</f>
        <v>0.15</v>
      </c>
      <c r="AB912" s="181">
        <f>IFERROR(X912+AA912,"")</f>
        <v>0.4</v>
      </c>
      <c r="AC912" s="313" t="s">
        <v>57</v>
      </c>
      <c r="AD912" s="316" t="s">
        <v>58</v>
      </c>
      <c r="AE912" s="317" t="s">
        <v>59</v>
      </c>
      <c r="AF912" s="299" t="str">
        <f t="shared" si="140"/>
        <v>Baja</v>
      </c>
      <c r="AG912" s="141">
        <f>IF(Y912=[24]Listas!$G$53,O912-(O912*AB912),O912)</f>
        <v>0.36</v>
      </c>
      <c r="AH912" s="561">
        <f>+IF(AG921="","",AG921)</f>
        <v>0.36</v>
      </c>
      <c r="AI912" s="299" t="str">
        <f>IF(AJ912="","",IF(AJ912&lt;=20%,"Leve",IF(AJ912&lt;=40%,"Menor",IF(AJ912&lt;=60%,"Moderado",IF(AJ912&lt;=80%,"Mayor","Catastrófico")))))</f>
        <v>Mayor</v>
      </c>
      <c r="AJ912" s="141">
        <f>IF(Y912=[24]Listas!$G$55,R912-(R912*AB912),R912)</f>
        <v>0.8</v>
      </c>
      <c r="AK912" s="561">
        <f>+IF(AJ921="","",AJ921)</f>
        <v>0.8</v>
      </c>
      <c r="AL912" s="564" t="str">
        <f>+IF(AH912=0,"",IF(AH912&lt;=$BA$21,$BB$21,IF(AH912&lt;=$BA$20,$BB$20,IF(AH912&lt;=$BA$19,$BB$19,IF(AH912&lt;=$BA$18,$BB$18,IF(AH912&lt;=$BA$17,$BB$17,""))))))</f>
        <v>Baja</v>
      </c>
      <c r="AM912" s="564" t="str">
        <f>+IF(AK912=0,"",IF(AK912&lt;=$BC$15,$BC$16,IF(AK912&lt;=$BD$15,$BD$16,IF(AK912&lt;=$BE$15,$BE$16,IF(AK912&lt;=$BF$15,$BF$16,IF(AK912&lt;=$BG$15,$BG$16,""))))))</f>
        <v>Mayor</v>
      </c>
      <c r="AN912" s="564" t="str">
        <f>IF(AL912=$BB$17,IF(AM912=$BC$16,$BC$17,IF(AM912=$BD$16,$BD$17,IF(AM912=$BE$16,$BE$17,IF(AM912=$BF$16,$BF$17,IF(AM912=$BG$16,$BG$17))))),IF(AL912=$BB$18,IF(AM912=$BC$16,$BC$18,IF(AM912=$BD$16,$BD$18,IF(AM912=$BE$16,$BE$18,IF(AM912=$BF$16,$BF$18,IF(AM912=$BG$16,$BG$18))))),IF(AL912=$BB$19,IF(AM912=$BC$16,$BC$19,IF(AM912=$BD$16,$BD$19,IF(AM912=$BE$16,$BE$19,IF(AM912=$BF$16,$BF$19,IF(AM912=$BG$16,$BG$19))))),IF(AL912=$BB$20,IF(AM912=$BC$16,$BC$20,IF(AM912=$BD$16,$BD$20,IF(AM912=$BE$16,$BE$20,IF(AM912=$BF$16,$BF$20,IF(AM912=$BG$16,$BG$20))))),IF(AL912=$BB$21,IF(AM912=$BC$16,$BC$21,IF(AM912=$BD$16,$BD$21,IF(AM912=$BE$16,$BE$21,IF(AM912=$BF$16,$BF$21,IF(AM912=$BG$16,$BG$21))))),"")))))</f>
        <v>Alto</v>
      </c>
      <c r="AO912" s="567" t="str">
        <f>IF(AP912="","",IF(AP912=[24]Listas!$F$61,[24]Listas!$G$61,IF(AP912=[24]Listas!$F$63,[24]Listas!$G$63,IF(AP912=[24]Listas!$F$64,[24]Listas!$G$64))))</f>
        <v>Requiere Plan de Acción</v>
      </c>
      <c r="AP912" s="570" t="str">
        <f>IF(AN912="","",IF(OR(AN912=[24]Listas!$E$61,AN912=[24]Listas!$E$62),[24]Listas!$F$61,IF(AN912=[24]Listas!$E$63,[24]Listas!$F$63,IF(AN912=[24]Listas!$E$64,[24]Listas!$F$64))))</f>
        <v>Reducir, evitar, compartir o transferir el riesgo</v>
      </c>
      <c r="AQ912" s="358" t="s">
        <v>90</v>
      </c>
      <c r="AR912" s="269" t="s">
        <v>1006</v>
      </c>
    </row>
    <row r="913" spans="2:44" ht="15" hidden="1" customHeight="1" thickTop="1" thickBot="1" x14ac:dyDescent="0.4">
      <c r="B913" s="537"/>
      <c r="C913" s="560"/>
      <c r="D913" s="610"/>
      <c r="E913" s="577"/>
      <c r="F913" s="580"/>
      <c r="G913" s="583"/>
      <c r="H913" s="655"/>
      <c r="I913" s="589"/>
      <c r="J913" s="589"/>
      <c r="K913" s="592"/>
      <c r="L913" s="589"/>
      <c r="M913" s="595"/>
      <c r="N913" s="598"/>
      <c r="O913" s="601"/>
      <c r="P913" s="595"/>
      <c r="Q913" s="604"/>
      <c r="R913" s="601"/>
      <c r="S913" s="286"/>
      <c r="T913" s="604"/>
      <c r="U913" s="142" t="s">
        <v>174</v>
      </c>
      <c r="V913" s="415"/>
      <c r="W913" s="331"/>
      <c r="X913" s="320" t="str">
        <f>IF(W913=[24]Listas!$B$46,[24]Listas!$C$46,IF(W913=[24]Listas!$B$47,[24]Listas!$C$47,IF(W913=[24]Listas!$B$48,[24]Listas!$C$48,"")))</f>
        <v/>
      </c>
      <c r="Y913" s="321" t="str">
        <f>IF(OR(W913=[24]Listas!$F$53,W913=[24]Listas!$F$54),[24]Listas!$G$53,IF(W913=[24]Listas!$F$55,[24]Listas!$G$55,""))</f>
        <v/>
      </c>
      <c r="Z913" s="319"/>
      <c r="AA913" s="182" t="str">
        <f>+IF(Z913=[24]Listas!$E$46,[24]Listas!$F$46,IF(Z913=[24]Listas!$E$47,[24]Listas!$F$47,""))</f>
        <v/>
      </c>
      <c r="AB913" s="183" t="str">
        <f>IFERROR(X913+AA913,"")</f>
        <v/>
      </c>
      <c r="AC913" s="319"/>
      <c r="AD913" s="322"/>
      <c r="AE913" s="323"/>
      <c r="AF913" s="305" t="str">
        <f t="shared" si="140"/>
        <v>Baja</v>
      </c>
      <c r="AG913" s="145">
        <f>IF(Y913=[24]Listas!$G$53,AG912-(AG912*AB913),AG912)</f>
        <v>0.36</v>
      </c>
      <c r="AH913" s="562"/>
      <c r="AI913" s="305" t="str">
        <f t="shared" si="136"/>
        <v>Mayor</v>
      </c>
      <c r="AJ913" s="145">
        <f>IF(Y913=[24]Listas!$G$55,AJ912-(AJ912*AB913),AJ912)</f>
        <v>0.8</v>
      </c>
      <c r="AK913" s="562"/>
      <c r="AL913" s="565"/>
      <c r="AM913" s="565"/>
      <c r="AN913" s="565"/>
      <c r="AO913" s="568"/>
      <c r="AP913" s="571"/>
      <c r="AQ913" s="343"/>
      <c r="AR913" s="191"/>
    </row>
    <row r="914" spans="2:44" ht="15" hidden="1" customHeight="1" thickTop="1" thickBot="1" x14ac:dyDescent="0.4">
      <c r="B914" s="537"/>
      <c r="C914" s="560"/>
      <c r="D914" s="610"/>
      <c r="E914" s="577"/>
      <c r="F914" s="580"/>
      <c r="G914" s="583"/>
      <c r="H914" s="655"/>
      <c r="I914" s="589"/>
      <c r="J914" s="589"/>
      <c r="K914" s="592"/>
      <c r="L914" s="589"/>
      <c r="M914" s="595"/>
      <c r="N914" s="598"/>
      <c r="O914" s="601"/>
      <c r="P914" s="595"/>
      <c r="Q914" s="604"/>
      <c r="R914" s="601"/>
      <c r="S914" s="287"/>
      <c r="T914" s="604"/>
      <c r="U914" s="142" t="s">
        <v>180</v>
      </c>
      <c r="V914" s="415"/>
      <c r="W914" s="331"/>
      <c r="X914" s="320" t="str">
        <f>IF(W914=[24]Listas!$B$46,[24]Listas!$C$46,IF(W914=[24]Listas!$B$47,[24]Listas!$C$47,IF(W914=[24]Listas!$B$48,[24]Listas!$C$48,"")))</f>
        <v/>
      </c>
      <c r="Y914" s="321" t="str">
        <f>IF(OR(W914=[24]Listas!$F$53,W914=[24]Listas!$F$54),[24]Listas!$G$53,IF(W914=[24]Listas!$F$55,[24]Listas!$G$55,""))</f>
        <v/>
      </c>
      <c r="Z914" s="319"/>
      <c r="AA914" s="182" t="str">
        <f>+IF(Z914=[24]Listas!$E$46,[24]Listas!$F$46,IF(Z914=[24]Listas!$E$47,[24]Listas!$F$47,""))</f>
        <v/>
      </c>
      <c r="AB914" s="183" t="str">
        <f>IFERROR(X914+AA914,"")</f>
        <v/>
      </c>
      <c r="AC914" s="325"/>
      <c r="AD914" s="326"/>
      <c r="AE914" s="327"/>
      <c r="AF914" s="305" t="str">
        <f t="shared" si="140"/>
        <v>Baja</v>
      </c>
      <c r="AG914" s="145">
        <f>IF(Y914=[24]Listas!$G$53,AG913-(AG913*AB914),AG913)</f>
        <v>0.36</v>
      </c>
      <c r="AH914" s="562"/>
      <c r="AI914" s="305" t="str">
        <f t="shared" si="136"/>
        <v>Mayor</v>
      </c>
      <c r="AJ914" s="145">
        <f>IF(Y914=[24]Listas!$G$55,AJ913-(AJ913*AB914),AJ913)</f>
        <v>0.8</v>
      </c>
      <c r="AK914" s="562"/>
      <c r="AL914" s="565"/>
      <c r="AM914" s="565"/>
      <c r="AN914" s="565"/>
      <c r="AO914" s="568"/>
      <c r="AP914" s="571"/>
      <c r="AQ914" s="343"/>
      <c r="AR914" s="191"/>
    </row>
    <row r="915" spans="2:44" ht="15" hidden="1" customHeight="1" thickTop="1" thickBot="1" x14ac:dyDescent="0.4">
      <c r="B915" s="537"/>
      <c r="C915" s="560"/>
      <c r="D915" s="610"/>
      <c r="E915" s="577"/>
      <c r="F915" s="580"/>
      <c r="G915" s="583"/>
      <c r="H915" s="655"/>
      <c r="I915" s="589"/>
      <c r="J915" s="589"/>
      <c r="K915" s="592"/>
      <c r="L915" s="589"/>
      <c r="M915" s="595"/>
      <c r="N915" s="598"/>
      <c r="O915" s="601"/>
      <c r="P915" s="595"/>
      <c r="Q915" s="604"/>
      <c r="R915" s="601"/>
      <c r="S915" s="287"/>
      <c r="T915" s="604"/>
      <c r="U915" s="142" t="s">
        <v>190</v>
      </c>
      <c r="V915" s="415"/>
      <c r="W915" s="331"/>
      <c r="X915" s="320" t="str">
        <f>IF(W915=[24]Listas!$B$46,[24]Listas!$C$46,IF(W915=[24]Listas!$B$47,[24]Listas!$C$47,IF(W915=[24]Listas!$B$48,[24]Listas!$C$48,"")))</f>
        <v/>
      </c>
      <c r="Y915" s="321" t="str">
        <f>IF(OR(W915=[24]Listas!$F$53,W915=[24]Listas!$F$54),[24]Listas!$G$53,IF(W915=[24]Listas!$F$55,[24]Listas!$G$55,""))</f>
        <v/>
      </c>
      <c r="Z915" s="319"/>
      <c r="AA915" s="182" t="str">
        <f>+IF(Z915=[24]Listas!$E$46,[24]Listas!$F$46,IF(Z915=[24]Listas!$E$47,[24]Listas!$F$47,""))</f>
        <v/>
      </c>
      <c r="AB915" s="183" t="str">
        <f t="shared" ref="AB915:AB921" si="141">IFERROR(X915+AA915,"")</f>
        <v/>
      </c>
      <c r="AC915" s="328"/>
      <c r="AD915" s="329"/>
      <c r="AE915" s="330"/>
      <c r="AF915" s="305" t="str">
        <f t="shared" si="140"/>
        <v>Baja</v>
      </c>
      <c r="AG915" s="145">
        <f>IF(Y915=[24]Listas!$G$53,AG914-(AG914*AB915),AG914)</f>
        <v>0.36</v>
      </c>
      <c r="AH915" s="562"/>
      <c r="AI915" s="305" t="str">
        <f t="shared" si="136"/>
        <v>Mayor</v>
      </c>
      <c r="AJ915" s="145">
        <f>IF(Y915=[24]Listas!$G$55,AJ914-(AJ914*AB915),AJ914)</f>
        <v>0.8</v>
      </c>
      <c r="AK915" s="562"/>
      <c r="AL915" s="565"/>
      <c r="AM915" s="565"/>
      <c r="AN915" s="565"/>
      <c r="AO915" s="568"/>
      <c r="AP915" s="571"/>
      <c r="AQ915" s="343"/>
      <c r="AR915" s="191"/>
    </row>
    <row r="916" spans="2:44" ht="15" hidden="1" customHeight="1" thickTop="1" thickBot="1" x14ac:dyDescent="0.4">
      <c r="B916" s="537"/>
      <c r="C916" s="560"/>
      <c r="D916" s="610"/>
      <c r="E916" s="577"/>
      <c r="F916" s="580"/>
      <c r="G916" s="583"/>
      <c r="H916" s="655"/>
      <c r="I916" s="589"/>
      <c r="J916" s="589"/>
      <c r="K916" s="592"/>
      <c r="L916" s="589"/>
      <c r="M916" s="595"/>
      <c r="N916" s="598"/>
      <c r="O916" s="601"/>
      <c r="P916" s="595"/>
      <c r="Q916" s="604"/>
      <c r="R916" s="601"/>
      <c r="S916" s="287"/>
      <c r="T916" s="604"/>
      <c r="U916" s="142" t="s">
        <v>198</v>
      </c>
      <c r="V916" s="415"/>
      <c r="W916" s="331"/>
      <c r="X916" s="320" t="str">
        <f>IF(W916=[24]Listas!$B$46,[24]Listas!$C$46,IF(W916=[24]Listas!$B$47,[24]Listas!$C$47,IF(W916=[24]Listas!$B$48,[24]Listas!$C$48,"")))</f>
        <v/>
      </c>
      <c r="Y916" s="321" t="str">
        <f>IF(OR(W916=[24]Listas!$F$53,W916=[24]Listas!$F$54),[24]Listas!$G$53,IF(W916=[24]Listas!$F$55,[24]Listas!$G$55,""))</f>
        <v/>
      </c>
      <c r="Z916" s="319"/>
      <c r="AA916" s="182" t="str">
        <f>+IF(Z916=[24]Listas!$E$46,[24]Listas!$F$46,IF(Z916=[24]Listas!$E$47,[24]Listas!$F$47,""))</f>
        <v/>
      </c>
      <c r="AB916" s="183" t="str">
        <f t="shared" si="141"/>
        <v/>
      </c>
      <c r="AC916" s="319"/>
      <c r="AD916" s="322"/>
      <c r="AE916" s="323"/>
      <c r="AF916" s="305" t="str">
        <f t="shared" si="140"/>
        <v>Baja</v>
      </c>
      <c r="AG916" s="145">
        <f>IF(Y916=[24]Listas!$G$53,AG915-(AG915*AB916),AG915)</f>
        <v>0.36</v>
      </c>
      <c r="AH916" s="562"/>
      <c r="AI916" s="305" t="str">
        <f t="shared" si="136"/>
        <v>Mayor</v>
      </c>
      <c r="AJ916" s="145">
        <f>IF(Y916=[24]Listas!$G$55,AJ915-(AJ915*AB916),AJ915)</f>
        <v>0.8</v>
      </c>
      <c r="AK916" s="562"/>
      <c r="AL916" s="565"/>
      <c r="AM916" s="565"/>
      <c r="AN916" s="565"/>
      <c r="AO916" s="568"/>
      <c r="AP916" s="571"/>
      <c r="AQ916" s="344"/>
      <c r="AR916" s="191"/>
    </row>
    <row r="917" spans="2:44" ht="15.75" hidden="1" customHeight="1" thickTop="1" thickBot="1" x14ac:dyDescent="0.4">
      <c r="B917" s="537"/>
      <c r="C917" s="560"/>
      <c r="D917" s="610"/>
      <c r="E917" s="577"/>
      <c r="F917" s="580"/>
      <c r="G917" s="583"/>
      <c r="H917" s="655"/>
      <c r="I917" s="589"/>
      <c r="J917" s="589"/>
      <c r="K917" s="592"/>
      <c r="L917" s="589"/>
      <c r="M917" s="595"/>
      <c r="N917" s="598"/>
      <c r="O917" s="601"/>
      <c r="P917" s="595"/>
      <c r="Q917" s="604"/>
      <c r="R917" s="601"/>
      <c r="S917" s="288"/>
      <c r="T917" s="604"/>
      <c r="U917" s="142" t="s">
        <v>208</v>
      </c>
      <c r="V917" s="418"/>
      <c r="W917" s="331"/>
      <c r="X917" s="320" t="str">
        <f>IF(W917=[24]Listas!$B$46,[24]Listas!$C$46,IF(W917=[24]Listas!$B$47,[24]Listas!$C$47,IF(W917=[24]Listas!$B$48,[24]Listas!$C$48,"")))</f>
        <v/>
      </c>
      <c r="Y917" s="321" t="str">
        <f>IF(OR(W917=[24]Listas!$F$53,W917=[24]Listas!$F$54),[24]Listas!$G$53,IF(W917=[24]Listas!$F$55,[24]Listas!$G$55,""))</f>
        <v/>
      </c>
      <c r="Z917" s="319"/>
      <c r="AA917" s="182" t="str">
        <f>+IF(Z917=[24]Listas!$E$46,[24]Listas!$F$46,IF(Z917=[24]Listas!$E$47,[24]Listas!$F$47,""))</f>
        <v/>
      </c>
      <c r="AB917" s="183" t="str">
        <f t="shared" si="141"/>
        <v/>
      </c>
      <c r="AC917" s="319"/>
      <c r="AD917" s="322"/>
      <c r="AE917" s="323"/>
      <c r="AF917" s="305" t="str">
        <f t="shared" si="140"/>
        <v>Baja</v>
      </c>
      <c r="AG917" s="145">
        <f>IF(Y917=[24]Listas!$G$53,AG916-(AG916*AB917),AG916)</f>
        <v>0.36</v>
      </c>
      <c r="AH917" s="562"/>
      <c r="AI917" s="305" t="str">
        <f t="shared" si="136"/>
        <v>Mayor</v>
      </c>
      <c r="AJ917" s="145">
        <f>IF(Y917=[24]Listas!$G$55,AJ916-(AJ916*AB917),AJ916)</f>
        <v>0.8</v>
      </c>
      <c r="AK917" s="562"/>
      <c r="AL917" s="565"/>
      <c r="AM917" s="565"/>
      <c r="AN917" s="565"/>
      <c r="AO917" s="568"/>
      <c r="AP917" s="571"/>
      <c r="AQ917" s="343"/>
      <c r="AR917" s="191"/>
    </row>
    <row r="918" spans="2:44" ht="15" hidden="1" customHeight="1" thickTop="1" thickBot="1" x14ac:dyDescent="0.4">
      <c r="B918" s="537"/>
      <c r="C918" s="560"/>
      <c r="D918" s="610"/>
      <c r="E918" s="577"/>
      <c r="F918" s="580"/>
      <c r="G918" s="583"/>
      <c r="H918" s="655"/>
      <c r="I918" s="589"/>
      <c r="J918" s="589"/>
      <c r="K918" s="592"/>
      <c r="L918" s="589"/>
      <c r="M918" s="595"/>
      <c r="N918" s="598"/>
      <c r="O918" s="601"/>
      <c r="P918" s="595"/>
      <c r="Q918" s="604"/>
      <c r="R918" s="601"/>
      <c r="S918" s="289"/>
      <c r="T918" s="604"/>
      <c r="U918" s="142" t="s">
        <v>215</v>
      </c>
      <c r="V918" s="415"/>
      <c r="W918" s="319"/>
      <c r="X918" s="320" t="str">
        <f>IF(W918=[24]Listas!$B$46,[24]Listas!$C$46,IF(W918=[24]Listas!$B$47,[24]Listas!$C$47,IF(W918=[24]Listas!$B$48,[24]Listas!$C$48,"")))</f>
        <v/>
      </c>
      <c r="Y918" s="321" t="str">
        <f>IF(OR(W918=[24]Listas!$F$53,W918=[24]Listas!$F$54),[24]Listas!$G$53,IF(W918=[24]Listas!$F$55,[24]Listas!$G$55,""))</f>
        <v/>
      </c>
      <c r="Z918" s="319"/>
      <c r="AA918" s="182" t="str">
        <f>+IF(Z918=[24]Listas!$E$46,[24]Listas!$F$46,IF(Z918=[24]Listas!$E$47,[24]Listas!$F$47,""))</f>
        <v/>
      </c>
      <c r="AB918" s="183" t="str">
        <f t="shared" si="141"/>
        <v/>
      </c>
      <c r="AC918" s="319"/>
      <c r="AD918" s="322"/>
      <c r="AE918" s="323"/>
      <c r="AF918" s="305" t="str">
        <f t="shared" si="140"/>
        <v>Baja</v>
      </c>
      <c r="AG918" s="145">
        <f>IF(Y918=[24]Listas!$G$53,AG917-(AG917*AB918),AG917)</f>
        <v>0.36</v>
      </c>
      <c r="AH918" s="562"/>
      <c r="AI918" s="305" t="str">
        <f t="shared" si="136"/>
        <v>Mayor</v>
      </c>
      <c r="AJ918" s="145">
        <f>IF(Y918=[24]Listas!$G$55,AJ917-(AJ917*AB918),AJ917)</f>
        <v>0.8</v>
      </c>
      <c r="AK918" s="562"/>
      <c r="AL918" s="565"/>
      <c r="AM918" s="565"/>
      <c r="AN918" s="565"/>
      <c r="AO918" s="568"/>
      <c r="AP918" s="571"/>
      <c r="AQ918" s="343"/>
      <c r="AR918" s="191"/>
    </row>
    <row r="919" spans="2:44" ht="15" hidden="1" customHeight="1" thickTop="1" thickBot="1" x14ac:dyDescent="0.4">
      <c r="B919" s="537"/>
      <c r="C919" s="560"/>
      <c r="D919" s="610"/>
      <c r="E919" s="577"/>
      <c r="F919" s="580"/>
      <c r="G919" s="583"/>
      <c r="H919" s="655"/>
      <c r="I919" s="589"/>
      <c r="J919" s="589"/>
      <c r="K919" s="592"/>
      <c r="L919" s="589"/>
      <c r="M919" s="595"/>
      <c r="N919" s="598"/>
      <c r="O919" s="601"/>
      <c r="P919" s="595"/>
      <c r="Q919" s="604"/>
      <c r="R919" s="601"/>
      <c r="S919" s="289"/>
      <c r="T919" s="604"/>
      <c r="U919" s="142" t="s">
        <v>220</v>
      </c>
      <c r="V919" s="418"/>
      <c r="W919" s="331"/>
      <c r="X919" s="320" t="str">
        <f>IF(W919=[24]Listas!$B$46,[24]Listas!$C$46,IF(W919=[24]Listas!$B$47,[24]Listas!$C$47,IF(W919=[24]Listas!$B$48,[24]Listas!$C$48,"")))</f>
        <v/>
      </c>
      <c r="Y919" s="321" t="str">
        <f>IF(OR(W919=[24]Listas!$F$53,W919=[24]Listas!$F$54),[24]Listas!$G$53,IF(W919=[24]Listas!$F$55,[24]Listas!$G$55,""))</f>
        <v/>
      </c>
      <c r="Z919" s="319"/>
      <c r="AA919" s="182" t="str">
        <f>+IF(Z919=[24]Listas!$E$46,[24]Listas!$F$46,IF(Z919=[24]Listas!$E$47,[24]Listas!$F$47,""))</f>
        <v/>
      </c>
      <c r="AB919" s="183" t="str">
        <f t="shared" si="141"/>
        <v/>
      </c>
      <c r="AC919" s="319"/>
      <c r="AD919" s="322"/>
      <c r="AE919" s="323"/>
      <c r="AF919" s="305" t="str">
        <f t="shared" si="140"/>
        <v>Baja</v>
      </c>
      <c r="AG919" s="145">
        <f>IF(Y919=[24]Listas!$G$53,AG918-(AG918*AB919),AG918)</f>
        <v>0.36</v>
      </c>
      <c r="AH919" s="562"/>
      <c r="AI919" s="305" t="str">
        <f t="shared" si="136"/>
        <v>Mayor</v>
      </c>
      <c r="AJ919" s="145">
        <f>IF(Y919=[24]Listas!$G$55,AJ918-(AJ918*AB919),AJ918)</f>
        <v>0.8</v>
      </c>
      <c r="AK919" s="562"/>
      <c r="AL919" s="565"/>
      <c r="AM919" s="565"/>
      <c r="AN919" s="565"/>
      <c r="AO919" s="568"/>
      <c r="AP919" s="571"/>
      <c r="AQ919" s="344"/>
      <c r="AR919" s="191"/>
    </row>
    <row r="920" spans="2:44" ht="15" hidden="1" customHeight="1" thickTop="1" thickBot="1" x14ac:dyDescent="0.4">
      <c r="B920" s="537"/>
      <c r="C920" s="560"/>
      <c r="D920" s="610"/>
      <c r="E920" s="577"/>
      <c r="F920" s="580"/>
      <c r="G920" s="583"/>
      <c r="H920" s="655"/>
      <c r="I920" s="589"/>
      <c r="J920" s="589"/>
      <c r="K920" s="592"/>
      <c r="L920" s="589"/>
      <c r="M920" s="595"/>
      <c r="N920" s="598"/>
      <c r="O920" s="601"/>
      <c r="P920" s="595"/>
      <c r="Q920" s="604"/>
      <c r="R920" s="601"/>
      <c r="S920" s="289"/>
      <c r="T920" s="604"/>
      <c r="U920" s="142" t="s">
        <v>223</v>
      </c>
      <c r="V920" s="418"/>
      <c r="W920" s="331"/>
      <c r="X920" s="320" t="str">
        <f>IF(W920=[24]Listas!$B$46,[24]Listas!$C$46,IF(W920=[24]Listas!$B$47,[24]Listas!$C$47,IF(W920=[24]Listas!$B$48,[24]Listas!$C$48,"")))</f>
        <v/>
      </c>
      <c r="Y920" s="321" t="str">
        <f>IF(OR(W920=[24]Listas!$F$53,W920=[24]Listas!$F$54),[24]Listas!$G$53,IF(W920=[24]Listas!$F$55,[24]Listas!$G$55,""))</f>
        <v/>
      </c>
      <c r="Z920" s="319"/>
      <c r="AA920" s="182" t="str">
        <f>+IF(Z920=[24]Listas!$E$46,[24]Listas!$F$46,IF(Z920=[24]Listas!$E$47,[24]Listas!$F$47,""))</f>
        <v/>
      </c>
      <c r="AB920" s="183" t="str">
        <f t="shared" si="141"/>
        <v/>
      </c>
      <c r="AC920" s="319"/>
      <c r="AD920" s="322"/>
      <c r="AE920" s="323"/>
      <c r="AF920" s="305" t="str">
        <f t="shared" si="140"/>
        <v>Baja</v>
      </c>
      <c r="AG920" s="145">
        <f>IF(Y920=[24]Listas!$G$53,AG919-(AG919*AB920),AG919)</f>
        <v>0.36</v>
      </c>
      <c r="AH920" s="562"/>
      <c r="AI920" s="305" t="str">
        <f t="shared" si="136"/>
        <v>Mayor</v>
      </c>
      <c r="AJ920" s="145">
        <f>IF(Y920=[24]Listas!$G$55,AJ919-(AJ919*AB920),AJ919)</f>
        <v>0.8</v>
      </c>
      <c r="AK920" s="562"/>
      <c r="AL920" s="565"/>
      <c r="AM920" s="565"/>
      <c r="AN920" s="565"/>
      <c r="AO920" s="568"/>
      <c r="AP920" s="571"/>
      <c r="AQ920" s="343"/>
      <c r="AR920" s="191"/>
    </row>
    <row r="921" spans="2:44" ht="15.75" hidden="1" customHeight="1" thickTop="1" thickBot="1" x14ac:dyDescent="0.4">
      <c r="B921" s="537"/>
      <c r="C921" s="560"/>
      <c r="D921" s="611"/>
      <c r="E921" s="578"/>
      <c r="F921" s="581"/>
      <c r="G921" s="584"/>
      <c r="H921" s="656"/>
      <c r="I921" s="590"/>
      <c r="J921" s="590"/>
      <c r="K921" s="593"/>
      <c r="L921" s="590"/>
      <c r="M921" s="596"/>
      <c r="N921" s="599"/>
      <c r="O921" s="602"/>
      <c r="P921" s="596"/>
      <c r="Q921" s="605"/>
      <c r="R921" s="602"/>
      <c r="S921" s="293"/>
      <c r="T921" s="605"/>
      <c r="U921" s="202" t="s">
        <v>224</v>
      </c>
      <c r="V921" s="416"/>
      <c r="W921" s="335"/>
      <c r="X921" s="336" t="str">
        <f>IF(W921=[24]Listas!$B$46,[24]Listas!$C$46,IF(W921=[24]Listas!$B$47,[24]Listas!$C$47,IF(W921=[24]Listas!$B$48,[24]Listas!$C$48,"")))</f>
        <v/>
      </c>
      <c r="Y921" s="337" t="str">
        <f>IF(OR(W921=[24]Listas!$F$53,W921=[24]Listas!$F$54),[24]Listas!$G$53,IF(W921=[24]Listas!$F$55,[24]Listas!$G$55,""))</f>
        <v/>
      </c>
      <c r="Z921" s="335"/>
      <c r="AA921" s="186" t="str">
        <f>+IF(Z921=[24]Listas!$E$46,[24]Listas!$F$46,IF(Z921=[24]Listas!$E$47,[24]Listas!$F$47,""))</f>
        <v/>
      </c>
      <c r="AB921" s="187" t="str">
        <f t="shared" si="141"/>
        <v/>
      </c>
      <c r="AC921" s="338"/>
      <c r="AD921" s="339"/>
      <c r="AE921" s="340"/>
      <c r="AF921" s="311" t="str">
        <f t="shared" si="140"/>
        <v>Baja</v>
      </c>
      <c r="AG921" s="179">
        <f>IF(Y921=[24]Listas!$G$53,AG920-(AG920*AB921),AG920)</f>
        <v>0.36</v>
      </c>
      <c r="AH921" s="563"/>
      <c r="AI921" s="311" t="str">
        <f t="shared" si="136"/>
        <v>Mayor</v>
      </c>
      <c r="AJ921" s="179">
        <f>IF(Y921=[24]Listas!$G$55,AJ920-(AJ920*AB921),AJ920)</f>
        <v>0.8</v>
      </c>
      <c r="AK921" s="563"/>
      <c r="AL921" s="566"/>
      <c r="AM921" s="566"/>
      <c r="AN921" s="566"/>
      <c r="AO921" s="569"/>
      <c r="AP921" s="572"/>
      <c r="AQ921" s="359"/>
      <c r="AR921" s="192"/>
    </row>
    <row r="922" spans="2:44" ht="308.14999999999998" customHeight="1" thickTop="1" thickBot="1" x14ac:dyDescent="0.4">
      <c r="B922" s="537"/>
      <c r="C922" s="560"/>
      <c r="D922" s="609" t="s">
        <v>1012</v>
      </c>
      <c r="E922" s="576" t="s">
        <v>3</v>
      </c>
      <c r="F922" s="579" t="s">
        <v>1013</v>
      </c>
      <c r="G922" s="582" t="s">
        <v>1014</v>
      </c>
      <c r="H922" s="654" t="s">
        <v>1015</v>
      </c>
      <c r="I922" s="588" t="s">
        <v>28</v>
      </c>
      <c r="J922" s="588" t="s">
        <v>22</v>
      </c>
      <c r="K922" s="591" t="s">
        <v>1010</v>
      </c>
      <c r="L922" s="588" t="s">
        <v>185</v>
      </c>
      <c r="M922" s="594" t="s">
        <v>214</v>
      </c>
      <c r="N922" s="597" t="str">
        <f>+IF(M922="","",IF(M922=$BO$15,$BN$15,IF(M922=$BO$16,$BN$16,IF(M922=$BO$17,$BN$17,IF(M922=$BO$18,$BN$18,IF(M922=$BO$19,$BN$19))))))</f>
        <v>Media</v>
      </c>
      <c r="O922" s="600">
        <f>+IF(M922="","",IF(M922=$BO$15,$BR$15,IF(M922=$BO$16,$BR$16,IF(M922=$BO$17,$BR$17,IF(M922=$BO$18,$BR$18,IF(M922=$BO$19,$BR$19))))))</f>
        <v>0.6</v>
      </c>
      <c r="P922" s="594" t="s">
        <v>218</v>
      </c>
      <c r="Q922" s="603" t="str">
        <f>+IF(P922="","",IF(P922='[24]Mapa de Calor inherente'!$AF$6,'[24]Mapa de Calor inherente'!$AD$6,IF(P922='[24]Mapa de Calor inherente'!$AF$7,'[24]Mapa de Calor inherente'!$AD$7,IF(P922='[24]Mapa de Calor inherente'!$AF$8,'[24]Mapa de Calor inherente'!$AD$8,IF(P922='[24]Mapa de Calor inherente'!$AF$9,'[24]Mapa de Calor inherente'!$AD$9,IF(P922='[24]Mapa de Calor inherente'!$AF$10,'[24]Mapa de Calor inherente'!$AD$10,IF(P922='[24]Mapa de Calor inherente'!$AG$6,'[24]Mapa de Calor inherente'!$AD$6,IF(P922='[24]Mapa de Calor inherente'!$AG$7,'[24]Mapa de Calor inherente'!$AD$7,IF(P922='[24]Mapa de Calor inherente'!$AG$8,'[24]Mapa de Calor inherente'!$AD$8,IF(P922='[24]Mapa de Calor inherente'!$AG$9,'[24]Mapa de Calor inherente'!$AD$9,IF(P922='[24]Mapa de Calor inherente'!$AG$10,'[24]Mapa de Calor inherente'!$AD$10,IF(P922='[24]Mapa de Calor inherente'!$AD$8,'[24]Mapa de Calor inherente'!$AD$8,IF(P922='[24]Mapa de Calor inherente'!$AD$9,'[24]Mapa de Calor inherente'!$AD$9,IF(P922='[24]Mapa de Calor inherente'!$AD$10,'[24]Mapa de Calor inherente'!$AD$10))))))))))))))</f>
        <v>Mayor</v>
      </c>
      <c r="R922" s="600">
        <f>+IF(P922="","",IF(P922='[24]Mapa de Calor inherente'!$AF$6,'[24]Mapa de Calor inherente'!$AE$6,IF(P922='[24]Mapa de Calor inherente'!$AF$7,'[24]Mapa de Calor inherente'!$AE$7,IF(P922='[24]Mapa de Calor inherente'!$AF$8,'[24]Mapa de Calor inherente'!$AE$8,IF(P922='[24]Mapa de Calor inherente'!$AF$9,'[24]Mapa de Calor inherente'!$AE$9,IF(P922='[24]Mapa de Calor inherente'!$AF$10,'[24]Mapa de Calor inherente'!$AE$10,IF(P922='[24]Mapa de Calor inherente'!$AG$6,'[24]Mapa de Calor inherente'!$AE$6,IF(P922='[24]Mapa de Calor inherente'!$AG$7,'[24]Mapa de Calor inherente'!$AE$7,IF(P922='[24]Mapa de Calor inherente'!$AG$8,'[24]Mapa de Calor inherente'!$AE$8,IF(P922='[24]Mapa de Calor inherente'!$AG$9,'[24]Mapa de Calor inherente'!$AE$9,IF(P922='[24]Mapa de Calor inherente'!$AG$10,'[24]Mapa de Calor inherente'!$AE$10,IF(P922='[24]Mapa de Calor inherente'!$AD$8,'[24]Mapa de Calor inherente'!$AE$8,IF(P922='[24]Mapa de Calor inherente'!$AD$9,'[24]Mapa de Calor inherente'!$AE$9,IF(P922='[24]Mapa de Calor inherente'!$AD$10,'[24]Mapa de Calor inherente'!$AE$10))))))))))))))</f>
        <v>0.8</v>
      </c>
      <c r="S922" s="292" t="e">
        <f>IF(N922="","",IF(R922="","",(N922*R922)))</f>
        <v>#VALUE!</v>
      </c>
      <c r="T922" s="603" t="str">
        <f>+IF(N922=$BB$17,IF(Q922=$BC$16,$BC$17,IF(Q922=$BD$16,$BD$17,IF(Q922=$BE$16,$BE$17,IF(Q922=$BF$16,$BF$17,IF(Q922=$BG$16,$BG$17))))),IF(N922=$BB$18,IF(Q922=$BC$16,$BC$18,IF(Q922=$BD$16,$BD$18,IF(Q922=$BE$16,$BE$18,IF(Q922=$BF$16,$BF$18,IF(Q922=$BG$16,$BG$18))))),IF(N922=$BB$19,IF(Q922=$BC$16,$BC$19,IF(Q922=$BD$16,$BD$19,IF(Q922=$BE$16,$BE$19,IF(Q922=$BF$16,$BF$19,IF(Q922=$BG$16,$BG$19))))),IF(N922=$BB$20,IF(Q922=$BC$16,$BC$20,IF(Q922=$BD$16,$BD$20,IF(Q922=$BE$16,$BE$20,IF(Q922=$BF$16,$BF$20,IF(Q922=$BG$16,$BG$20))))),IF(N922=$BB$21,IF(Q922=$BC$16,$BC$21,IF(Q922=$BD$16,$BD$21,IF(Q922=$BE$16,$BE$21,IF(Q922=$BF$16,$BF$21,IF(Q922=$BG$16,$BG$21))))),"")))))</f>
        <v>Alto</v>
      </c>
      <c r="U922" s="139" t="s">
        <v>171</v>
      </c>
      <c r="V922" s="516" t="s">
        <v>1016</v>
      </c>
      <c r="W922" s="313" t="s">
        <v>40</v>
      </c>
      <c r="X922" s="314">
        <f>IF(W922=[24]Listas!$B$46,[24]Listas!$C$46,IF(W922=[24]Listas!$B$47,[24]Listas!$C$47,IF(W922=[24]Listas!$B$48,[24]Listas!$C$48,"")))</f>
        <v>0.25</v>
      </c>
      <c r="Y922" s="315" t="str">
        <f>IF(OR(W922=[24]Listas!$F$53,W922=[24]Listas!$F$54),[24]Listas!$G$53,IF(W922=[24]Listas!$F$55,[24]Listas!$G$55,""))</f>
        <v>Probabilidad</v>
      </c>
      <c r="Z922" s="313" t="s">
        <v>43</v>
      </c>
      <c r="AA922" s="314">
        <f>+IF(Z922=[24]Listas!$E$46,[24]Listas!$F$46,IF(Z922=[24]Listas!$E$47,[24]Listas!$F$47,""))</f>
        <v>0.15</v>
      </c>
      <c r="AB922" s="181">
        <f>IFERROR(X922+AA922,"")</f>
        <v>0.4</v>
      </c>
      <c r="AC922" s="313" t="s">
        <v>57</v>
      </c>
      <c r="AD922" s="316" t="s">
        <v>58</v>
      </c>
      <c r="AE922" s="317" t="s">
        <v>59</v>
      </c>
      <c r="AF922" s="299" t="str">
        <f t="shared" si="140"/>
        <v>Baja</v>
      </c>
      <c r="AG922" s="141">
        <f>IF(Y922=[24]Listas!$G$53,O922-(O922*AB922),O922)</f>
        <v>0.36</v>
      </c>
      <c r="AH922" s="561">
        <f>+IF(AG931="","",AG931)</f>
        <v>0.36</v>
      </c>
      <c r="AI922" s="299" t="str">
        <f>IF(AJ922="","",IF(AJ922&lt;=20%,"Leve",IF(AJ922&lt;=40%,"Menor",IF(AJ922&lt;=60%,"Moderado",IF(AJ922&lt;=80%,"Mayor","Catastrófico")))))</f>
        <v>Mayor</v>
      </c>
      <c r="AJ922" s="141">
        <f>IF(Y922=[24]Listas!$G$55,R922-(R922*AB922),R922)</f>
        <v>0.8</v>
      </c>
      <c r="AK922" s="561">
        <f>+IF(AJ931="","",AJ931)</f>
        <v>0.8</v>
      </c>
      <c r="AL922" s="564" t="str">
        <f>+IF(AH922=0,"",IF(AH922&lt;=$BA$21,$BB$21,IF(AH922&lt;=$BA$20,$BB$20,IF(AH922&lt;=$BA$19,$BB$19,IF(AH922&lt;=$BA$18,$BB$18,IF(AH922&lt;=$BA$17,$BB$17,""))))))</f>
        <v>Baja</v>
      </c>
      <c r="AM922" s="564" t="str">
        <f>+IF(AK922=0,"",IF(AK922&lt;=$BC$15,$BC$16,IF(AK922&lt;=$BD$15,$BD$16,IF(AK922&lt;=$BE$15,$BE$16,IF(AK922&lt;=$BF$15,$BF$16,IF(AK922&lt;=$BG$15,$BG$16,""))))))</f>
        <v>Mayor</v>
      </c>
      <c r="AN922" s="564" t="str">
        <f>IF(AL922=$BB$17,IF(AM922=$BC$16,$BC$17,IF(AM922=$BD$16,$BD$17,IF(AM922=$BE$16,$BE$17,IF(AM922=$BF$16,$BF$17,IF(AM922=$BG$16,$BG$17))))),IF(AL922=$BB$18,IF(AM922=$BC$16,$BC$18,IF(AM922=$BD$16,$BD$18,IF(AM922=$BE$16,$BE$18,IF(AM922=$BF$16,$BF$18,IF(AM922=$BG$16,$BG$18))))),IF(AL922=$BB$19,IF(AM922=$BC$16,$BC$19,IF(AM922=$BD$16,$BD$19,IF(AM922=$BE$16,$BE$19,IF(AM922=$BF$16,$BF$19,IF(AM922=$BG$16,$BG$19))))),IF(AL922=$BB$20,IF(AM922=$BC$16,$BC$20,IF(AM922=$BD$16,$BD$20,IF(AM922=$BE$16,$BE$20,IF(AM922=$BF$16,$BF$20,IF(AM922=$BG$16,$BG$20))))),IF(AL922=$BB$21,IF(AM922=$BC$16,$BC$21,IF(AM922=$BD$16,$BD$21,IF(AM922=$BE$16,$BE$21,IF(AM922=$BF$16,$BF$21,IF(AM922=$BG$16,$BG$21))))),"")))))</f>
        <v>Alto</v>
      </c>
      <c r="AO922" s="567" t="str">
        <f>IF(AP922="","",IF(AP922=[24]Listas!$F$61,[24]Listas!$G$61,IF(AP922=[24]Listas!$F$63,[24]Listas!$G$63,IF(AP922=[24]Listas!$F$64,[24]Listas!$G$64))))</f>
        <v>Requiere Plan de Acción</v>
      </c>
      <c r="AP922" s="570" t="str">
        <f>IF(AN922="","",IF(OR(AN922=[24]Listas!$E$61,AN922=[24]Listas!$E$62),[24]Listas!$F$61,IF(AN922=[24]Listas!$E$63,[24]Listas!$F$63,IF(AN922=[24]Listas!$E$64,[24]Listas!$F$64))))</f>
        <v>Reducir, evitar, compartir o transferir el riesgo</v>
      </c>
      <c r="AQ922" s="342" t="s">
        <v>90</v>
      </c>
      <c r="AR922" s="269" t="s">
        <v>1006</v>
      </c>
    </row>
    <row r="923" spans="2:44" ht="16" hidden="1" customHeight="1" thickTop="1" thickBot="1" x14ac:dyDescent="0.4">
      <c r="B923" s="537"/>
      <c r="C923" s="560"/>
      <c r="D923" s="610"/>
      <c r="E923" s="577"/>
      <c r="F923" s="580"/>
      <c r="G923" s="583"/>
      <c r="H923" s="655"/>
      <c r="I923" s="589"/>
      <c r="J923" s="589"/>
      <c r="K923" s="592"/>
      <c r="L923" s="589"/>
      <c r="M923" s="595"/>
      <c r="N923" s="598"/>
      <c r="O923" s="601"/>
      <c r="P923" s="595"/>
      <c r="Q923" s="604"/>
      <c r="R923" s="601"/>
      <c r="S923" s="286"/>
      <c r="T923" s="604"/>
      <c r="U923" s="142" t="s">
        <v>174</v>
      </c>
      <c r="V923" s="418"/>
      <c r="W923" s="319"/>
      <c r="X923" s="320" t="str">
        <f>IF(W923=[24]Listas!$B$46,[24]Listas!$C$46,IF(W923=[24]Listas!$B$47,[24]Listas!$C$47,IF(W923=[24]Listas!$B$48,[24]Listas!$C$48,"")))</f>
        <v/>
      </c>
      <c r="Y923" s="321" t="str">
        <f>IF(OR(W923=[24]Listas!$F$53,W923=[24]Listas!$F$54),[24]Listas!$G$53,IF(W923=[24]Listas!$F$55,[24]Listas!$G$55,""))</f>
        <v/>
      </c>
      <c r="Z923" s="319"/>
      <c r="AA923" s="182" t="str">
        <f>+IF(Z923=[24]Listas!$E$46,[24]Listas!$F$46,IF(Z923=[24]Listas!$E$47,[24]Listas!$F$47,""))</f>
        <v/>
      </c>
      <c r="AB923" s="183" t="str">
        <f>IFERROR(X923+AA923,"")</f>
        <v/>
      </c>
      <c r="AC923" s="319"/>
      <c r="AD923" s="322"/>
      <c r="AE923" s="323"/>
      <c r="AF923" s="305" t="str">
        <f t="shared" si="140"/>
        <v>Baja</v>
      </c>
      <c r="AG923" s="145">
        <f>IF(Y923=[24]Listas!$G$53,AG922-(AG922*AB923),AG922)</f>
        <v>0.36</v>
      </c>
      <c r="AH923" s="562"/>
      <c r="AI923" s="305" t="str">
        <f t="shared" si="136"/>
        <v>Mayor</v>
      </c>
      <c r="AJ923" s="145">
        <f>IF(Y923=[24]Listas!$G$55,AJ922-(AJ922*AB923),AJ922)</f>
        <v>0.8</v>
      </c>
      <c r="AK923" s="562"/>
      <c r="AL923" s="565"/>
      <c r="AM923" s="565"/>
      <c r="AN923" s="565"/>
      <c r="AO923" s="568"/>
      <c r="AP923" s="571"/>
      <c r="AQ923" s="343"/>
      <c r="AR923" s="191"/>
    </row>
    <row r="924" spans="2:44" ht="16" hidden="1" customHeight="1" thickTop="1" x14ac:dyDescent="0.35">
      <c r="B924" s="537"/>
      <c r="C924" s="560"/>
      <c r="D924" s="610"/>
      <c r="E924" s="577"/>
      <c r="F924" s="580"/>
      <c r="G924" s="583"/>
      <c r="H924" s="655"/>
      <c r="I924" s="589"/>
      <c r="J924" s="589"/>
      <c r="K924" s="592"/>
      <c r="L924" s="589"/>
      <c r="M924" s="595"/>
      <c r="N924" s="598"/>
      <c r="O924" s="601"/>
      <c r="P924" s="595"/>
      <c r="Q924" s="604"/>
      <c r="R924" s="601"/>
      <c r="S924" s="287"/>
      <c r="T924" s="604"/>
      <c r="U924" s="142" t="s">
        <v>180</v>
      </c>
      <c r="V924" s="418"/>
      <c r="W924" s="331"/>
      <c r="X924" s="320" t="str">
        <f>IF(W924=[24]Listas!$B$46,[24]Listas!$C$46,IF(W924=[24]Listas!$B$47,[24]Listas!$C$47,IF(W924=[24]Listas!$B$48,[24]Listas!$C$48,"")))</f>
        <v/>
      </c>
      <c r="Y924" s="321" t="str">
        <f>IF(OR(W924=[24]Listas!$F$53,W924=[24]Listas!$F$54),[24]Listas!$G$53,IF(W924=[24]Listas!$F$55,[24]Listas!$G$55,""))</f>
        <v/>
      </c>
      <c r="Z924" s="319"/>
      <c r="AA924" s="182" t="str">
        <f>+IF(Z924=[24]Listas!$E$46,[24]Listas!$F$46,IF(Z924=[24]Listas!$E$47,[24]Listas!$F$47,""))</f>
        <v/>
      </c>
      <c r="AB924" s="183" t="str">
        <f>IFERROR(X924+AA924,"")</f>
        <v/>
      </c>
      <c r="AC924" s="325"/>
      <c r="AD924" s="326"/>
      <c r="AE924" s="327"/>
      <c r="AF924" s="305" t="str">
        <f t="shared" si="140"/>
        <v>Baja</v>
      </c>
      <c r="AG924" s="145">
        <f>IF(Y924=[24]Listas!$G$53,AG923-(AG923*AB924),AG923)</f>
        <v>0.36</v>
      </c>
      <c r="AH924" s="562"/>
      <c r="AI924" s="305" t="str">
        <f t="shared" si="136"/>
        <v>Mayor</v>
      </c>
      <c r="AJ924" s="145">
        <f>IF(Y924=[24]Listas!$G$55,AJ923-(AJ923*AB924),AJ923)</f>
        <v>0.8</v>
      </c>
      <c r="AK924" s="562"/>
      <c r="AL924" s="565"/>
      <c r="AM924" s="565"/>
      <c r="AN924" s="565"/>
      <c r="AO924" s="568"/>
      <c r="AP924" s="571"/>
      <c r="AQ924" s="344"/>
      <c r="AR924" s="191"/>
    </row>
    <row r="925" spans="2:44" ht="16" hidden="1" customHeight="1" thickTop="1" x14ac:dyDescent="0.35">
      <c r="B925" s="537"/>
      <c r="C925" s="560"/>
      <c r="D925" s="610"/>
      <c r="E925" s="577"/>
      <c r="F925" s="580"/>
      <c r="G925" s="583"/>
      <c r="H925" s="655"/>
      <c r="I925" s="589"/>
      <c r="J925" s="589"/>
      <c r="K925" s="592"/>
      <c r="L925" s="589"/>
      <c r="M925" s="595"/>
      <c r="N925" s="598"/>
      <c r="O925" s="601"/>
      <c r="P925" s="595"/>
      <c r="Q925" s="604"/>
      <c r="R925" s="601"/>
      <c r="S925" s="287"/>
      <c r="T925" s="604"/>
      <c r="U925" s="142" t="s">
        <v>190</v>
      </c>
      <c r="V925" s="418"/>
      <c r="W925" s="319"/>
      <c r="X925" s="320" t="str">
        <f>IF(W925=[24]Listas!$B$46,[24]Listas!$C$46,IF(W925=[24]Listas!$B$47,[24]Listas!$C$47,IF(W925=[24]Listas!$B$48,[24]Listas!$C$48,"")))</f>
        <v/>
      </c>
      <c r="Y925" s="321" t="str">
        <f>IF(OR(W925=[24]Listas!$F$53,W925=[24]Listas!$F$54),[24]Listas!$G$53,IF(W925=[24]Listas!$F$55,[24]Listas!$G$55,""))</f>
        <v/>
      </c>
      <c r="Z925" s="319"/>
      <c r="AA925" s="182" t="str">
        <f>+IF(Z925=[24]Listas!$E$46,[24]Listas!$F$46,IF(Z925=[24]Listas!$E$47,[24]Listas!$F$47,""))</f>
        <v/>
      </c>
      <c r="AB925" s="183" t="str">
        <f t="shared" ref="AB925:AB931" si="142">IFERROR(X925+AA925,"")</f>
        <v/>
      </c>
      <c r="AC925" s="328"/>
      <c r="AD925" s="329"/>
      <c r="AE925" s="330"/>
      <c r="AF925" s="305" t="str">
        <f t="shared" si="140"/>
        <v>Baja</v>
      </c>
      <c r="AG925" s="145">
        <f>IF(Y925=[24]Listas!$G$53,AG924-(AG924*AB925),AG924)</f>
        <v>0.36</v>
      </c>
      <c r="AH925" s="562"/>
      <c r="AI925" s="305" t="str">
        <f t="shared" si="136"/>
        <v>Mayor</v>
      </c>
      <c r="AJ925" s="145">
        <f>IF(Y925=[24]Listas!$G$55,AJ924-(AJ924*AB925),AJ924)</f>
        <v>0.8</v>
      </c>
      <c r="AK925" s="562"/>
      <c r="AL925" s="565"/>
      <c r="AM925" s="565"/>
      <c r="AN925" s="565"/>
      <c r="AO925" s="568"/>
      <c r="AP925" s="571"/>
      <c r="AQ925" s="343"/>
      <c r="AR925" s="191"/>
    </row>
    <row r="926" spans="2:44" ht="16" hidden="1" customHeight="1" thickTop="1" x14ac:dyDescent="0.35">
      <c r="B926" s="537"/>
      <c r="C926" s="560"/>
      <c r="D926" s="610"/>
      <c r="E926" s="577"/>
      <c r="F926" s="580"/>
      <c r="G926" s="583"/>
      <c r="H926" s="655"/>
      <c r="I926" s="589"/>
      <c r="J926" s="589"/>
      <c r="K926" s="592"/>
      <c r="L926" s="589"/>
      <c r="M926" s="595"/>
      <c r="N926" s="598"/>
      <c r="O926" s="601"/>
      <c r="P926" s="595"/>
      <c r="Q926" s="604"/>
      <c r="R926" s="601"/>
      <c r="S926" s="287"/>
      <c r="T926" s="604"/>
      <c r="U926" s="142" t="s">
        <v>198</v>
      </c>
      <c r="V926" s="418"/>
      <c r="W926" s="331"/>
      <c r="X926" s="320" t="str">
        <f>IF(W926=[24]Listas!$B$46,[24]Listas!$C$46,IF(W926=[24]Listas!$B$47,[24]Listas!$C$47,IF(W926=[24]Listas!$B$48,[24]Listas!$C$48,"")))</f>
        <v/>
      </c>
      <c r="Y926" s="321" t="str">
        <f>IF(OR(W926=[24]Listas!$F$53,W926=[24]Listas!$F$54),[24]Listas!$G$53,IF(W926=[24]Listas!$F$55,[24]Listas!$G$55,""))</f>
        <v/>
      </c>
      <c r="Z926" s="331"/>
      <c r="AA926" s="182" t="str">
        <f>+IF(Z926=[24]Listas!$E$46,[24]Listas!$F$46,IF(Z926=[24]Listas!$E$47,[24]Listas!$F$47,""))</f>
        <v/>
      </c>
      <c r="AB926" s="183" t="str">
        <f t="shared" si="142"/>
        <v/>
      </c>
      <c r="AC926" s="319"/>
      <c r="AD926" s="322"/>
      <c r="AE926" s="323"/>
      <c r="AF926" s="305" t="str">
        <f t="shared" si="140"/>
        <v>Baja</v>
      </c>
      <c r="AG926" s="145">
        <f>IF(Y926=[24]Listas!$G$53,AG925-(AG925*AB926),AG925)</f>
        <v>0.36</v>
      </c>
      <c r="AH926" s="562"/>
      <c r="AI926" s="305" t="str">
        <f t="shared" si="136"/>
        <v>Mayor</v>
      </c>
      <c r="AJ926" s="145">
        <f>IF(Y926=[24]Listas!$G$55,AJ925-(AJ925*AB926),AJ925)</f>
        <v>0.8</v>
      </c>
      <c r="AK926" s="562"/>
      <c r="AL926" s="565"/>
      <c r="AM926" s="565"/>
      <c r="AN926" s="565"/>
      <c r="AO926" s="568"/>
      <c r="AP926" s="571"/>
      <c r="AQ926" s="343"/>
      <c r="AR926" s="191"/>
    </row>
    <row r="927" spans="2:44" ht="16" hidden="1" customHeight="1" thickTop="1" x14ac:dyDescent="0.35">
      <c r="B927" s="537"/>
      <c r="C927" s="560"/>
      <c r="D927" s="610"/>
      <c r="E927" s="577"/>
      <c r="F927" s="580"/>
      <c r="G927" s="583"/>
      <c r="H927" s="655"/>
      <c r="I927" s="589"/>
      <c r="J927" s="589"/>
      <c r="K927" s="592"/>
      <c r="L927" s="589"/>
      <c r="M927" s="595"/>
      <c r="N927" s="598"/>
      <c r="O927" s="601"/>
      <c r="P927" s="595"/>
      <c r="Q927" s="604"/>
      <c r="R927" s="601"/>
      <c r="S927" s="288"/>
      <c r="T927" s="604"/>
      <c r="U927" s="142" t="s">
        <v>208</v>
      </c>
      <c r="V927" s="418"/>
      <c r="W927" s="331"/>
      <c r="X927" s="320" t="str">
        <f>IF(W927=[24]Listas!$B$46,[24]Listas!$C$46,IF(W927=[24]Listas!$B$47,[24]Listas!$C$47,IF(W927=[24]Listas!$B$48,[24]Listas!$C$48,"")))</f>
        <v/>
      </c>
      <c r="Y927" s="321" t="str">
        <f>IF(OR(W927=[24]Listas!$F$53,W927=[24]Listas!$F$54),[24]Listas!$G$53,IF(W927=[24]Listas!$F$55,[24]Listas!$G$55,""))</f>
        <v/>
      </c>
      <c r="Z927" s="331"/>
      <c r="AA927" s="182" t="str">
        <f>+IF(Z927=[24]Listas!$E$46,[24]Listas!$F$46,IF(Z927=[24]Listas!$E$47,[24]Listas!$F$47,""))</f>
        <v/>
      </c>
      <c r="AB927" s="183" t="str">
        <f t="shared" si="142"/>
        <v/>
      </c>
      <c r="AC927" s="319"/>
      <c r="AD927" s="322"/>
      <c r="AE927" s="323"/>
      <c r="AF927" s="305" t="str">
        <f t="shared" si="140"/>
        <v>Baja</v>
      </c>
      <c r="AG927" s="145">
        <f>IF(Y927=[24]Listas!$G$53,AG926-(AG926*AB927),AG926)</f>
        <v>0.36</v>
      </c>
      <c r="AH927" s="562"/>
      <c r="AI927" s="305" t="str">
        <f t="shared" si="136"/>
        <v>Mayor</v>
      </c>
      <c r="AJ927" s="145">
        <f>IF(Y927=[24]Listas!$G$55,AJ926-(AJ926*AB927),AJ926)</f>
        <v>0.8</v>
      </c>
      <c r="AK927" s="562"/>
      <c r="AL927" s="565"/>
      <c r="AM927" s="565"/>
      <c r="AN927" s="565"/>
      <c r="AO927" s="568"/>
      <c r="AP927" s="571"/>
      <c r="AQ927" s="343"/>
      <c r="AR927" s="191"/>
    </row>
    <row r="928" spans="2:44" ht="16" hidden="1" customHeight="1" thickTop="1" x14ac:dyDescent="0.35">
      <c r="B928" s="537"/>
      <c r="C928" s="560"/>
      <c r="D928" s="610"/>
      <c r="E928" s="577"/>
      <c r="F928" s="580"/>
      <c r="G928" s="583"/>
      <c r="H928" s="655"/>
      <c r="I928" s="589"/>
      <c r="J928" s="589"/>
      <c r="K928" s="592"/>
      <c r="L928" s="589"/>
      <c r="M928" s="595"/>
      <c r="N928" s="598"/>
      <c r="O928" s="601"/>
      <c r="P928" s="595"/>
      <c r="Q928" s="604"/>
      <c r="R928" s="601"/>
      <c r="S928" s="289"/>
      <c r="T928" s="604"/>
      <c r="U928" s="142" t="s">
        <v>215</v>
      </c>
      <c r="V928" s="418"/>
      <c r="W928" s="331"/>
      <c r="X928" s="320" t="str">
        <f>IF(W928=[24]Listas!$B$46,[24]Listas!$C$46,IF(W928=[24]Listas!$B$47,[24]Listas!$C$47,IF(W928=[24]Listas!$B$48,[24]Listas!$C$48,"")))</f>
        <v/>
      </c>
      <c r="Y928" s="321" t="str">
        <f>IF(OR(W928=[24]Listas!$F$53,W928=[24]Listas!$F$54),[24]Listas!$G$53,IF(W928=[24]Listas!$F$55,[24]Listas!$G$55,""))</f>
        <v/>
      </c>
      <c r="Z928" s="331"/>
      <c r="AA928" s="182" t="str">
        <f>+IF(Z928=[24]Listas!$E$46,[24]Listas!$F$46,IF(Z928=[24]Listas!$E$47,[24]Listas!$F$47,""))</f>
        <v/>
      </c>
      <c r="AB928" s="183" t="str">
        <f t="shared" si="142"/>
        <v/>
      </c>
      <c r="AC928" s="319"/>
      <c r="AD928" s="322"/>
      <c r="AE928" s="323"/>
      <c r="AF928" s="305" t="str">
        <f t="shared" si="140"/>
        <v>Baja</v>
      </c>
      <c r="AG928" s="145">
        <f>IF(Y928=[24]Listas!$G$53,AG927-(AG927*AB928),AG927)</f>
        <v>0.36</v>
      </c>
      <c r="AH928" s="562"/>
      <c r="AI928" s="305" t="str">
        <f t="shared" si="136"/>
        <v>Mayor</v>
      </c>
      <c r="AJ928" s="145">
        <f>IF(Y928=[24]Listas!$G$55,AJ927-(AJ927*AB928),AJ927)</f>
        <v>0.8</v>
      </c>
      <c r="AK928" s="562"/>
      <c r="AL928" s="565"/>
      <c r="AM928" s="565"/>
      <c r="AN928" s="565"/>
      <c r="AO928" s="568"/>
      <c r="AP928" s="571"/>
      <c r="AQ928" s="344"/>
      <c r="AR928" s="191"/>
    </row>
    <row r="929" spans="2:70" ht="16" hidden="1" customHeight="1" thickTop="1" x14ac:dyDescent="0.35">
      <c r="B929" s="537"/>
      <c r="C929" s="560"/>
      <c r="D929" s="610"/>
      <c r="E929" s="577"/>
      <c r="F929" s="580"/>
      <c r="G929" s="583"/>
      <c r="H929" s="655"/>
      <c r="I929" s="589"/>
      <c r="J929" s="589"/>
      <c r="K929" s="592"/>
      <c r="L929" s="589"/>
      <c r="M929" s="595"/>
      <c r="N929" s="598"/>
      <c r="O929" s="601"/>
      <c r="P929" s="595"/>
      <c r="Q929" s="604"/>
      <c r="R929" s="601"/>
      <c r="S929" s="289"/>
      <c r="T929" s="604"/>
      <c r="U929" s="142" t="s">
        <v>220</v>
      </c>
      <c r="V929" s="418"/>
      <c r="W929" s="331"/>
      <c r="X929" s="320" t="str">
        <f>IF(W929=[24]Listas!$B$46,[24]Listas!$C$46,IF(W929=[24]Listas!$B$47,[24]Listas!$C$47,IF(W929=[24]Listas!$B$48,[24]Listas!$C$48,"")))</f>
        <v/>
      </c>
      <c r="Y929" s="321" t="str">
        <f>IF(OR(W929=[24]Listas!$F$53,W929=[24]Listas!$F$54),[24]Listas!$G$53,IF(W929=[24]Listas!$F$55,[24]Listas!$G$55,""))</f>
        <v/>
      </c>
      <c r="Z929" s="331"/>
      <c r="AA929" s="182" t="str">
        <f>+IF(Z929=[24]Listas!$E$46,[24]Listas!$F$46,IF(Z929=[24]Listas!$E$47,[24]Listas!$F$47,""))</f>
        <v/>
      </c>
      <c r="AB929" s="183" t="str">
        <f t="shared" si="142"/>
        <v/>
      </c>
      <c r="AC929" s="319"/>
      <c r="AD929" s="322"/>
      <c r="AE929" s="323"/>
      <c r="AF929" s="305" t="str">
        <f t="shared" si="140"/>
        <v>Baja</v>
      </c>
      <c r="AG929" s="145">
        <f>IF(Y929=[24]Listas!$G$53,AG928-(AG928*AB929),AG928)</f>
        <v>0.36</v>
      </c>
      <c r="AH929" s="562"/>
      <c r="AI929" s="305" t="str">
        <f t="shared" si="136"/>
        <v>Mayor</v>
      </c>
      <c r="AJ929" s="145">
        <f>IF(Y929=[24]Listas!$G$55,AJ928-(AJ928*AB929),AJ928)</f>
        <v>0.8</v>
      </c>
      <c r="AK929" s="562"/>
      <c r="AL929" s="565"/>
      <c r="AM929" s="565"/>
      <c r="AN929" s="565"/>
      <c r="AO929" s="568"/>
      <c r="AP929" s="571"/>
      <c r="AQ929" s="345"/>
      <c r="AR929" s="191"/>
    </row>
    <row r="930" spans="2:70" ht="16" hidden="1" customHeight="1" thickTop="1" x14ac:dyDescent="0.35">
      <c r="B930" s="537"/>
      <c r="C930" s="560"/>
      <c r="D930" s="610"/>
      <c r="E930" s="577"/>
      <c r="F930" s="580"/>
      <c r="G930" s="583"/>
      <c r="H930" s="655"/>
      <c r="I930" s="589"/>
      <c r="J930" s="589"/>
      <c r="K930" s="592"/>
      <c r="L930" s="589"/>
      <c r="M930" s="595"/>
      <c r="N930" s="598"/>
      <c r="O930" s="601"/>
      <c r="P930" s="595"/>
      <c r="Q930" s="604"/>
      <c r="R930" s="601"/>
      <c r="S930" s="289"/>
      <c r="T930" s="604"/>
      <c r="U930" s="142" t="s">
        <v>223</v>
      </c>
      <c r="V930" s="418"/>
      <c r="W930" s="331"/>
      <c r="X930" s="320" t="str">
        <f>IF(W930=[24]Listas!$B$46,[24]Listas!$C$46,IF(W930=[24]Listas!$B$47,[24]Listas!$C$47,IF(W930=[24]Listas!$B$48,[24]Listas!$C$48,"")))</f>
        <v/>
      </c>
      <c r="Y930" s="321" t="str">
        <f>IF(OR(W930=[24]Listas!$F$53,W930=[24]Listas!$F$54),[24]Listas!$G$53,IF(W930=[24]Listas!$F$55,[24]Listas!$G$55,""))</f>
        <v/>
      </c>
      <c r="Z930" s="331"/>
      <c r="AA930" s="182" t="str">
        <f>+IF(Z930=[24]Listas!$E$46,[24]Listas!$F$46,IF(Z930=[24]Listas!$E$47,[24]Listas!$F$47,""))</f>
        <v/>
      </c>
      <c r="AB930" s="183" t="str">
        <f t="shared" si="142"/>
        <v/>
      </c>
      <c r="AC930" s="319"/>
      <c r="AD930" s="322"/>
      <c r="AE930" s="323"/>
      <c r="AF930" s="305" t="str">
        <f t="shared" si="140"/>
        <v>Baja</v>
      </c>
      <c r="AG930" s="145">
        <f>IF(Y930=[24]Listas!$G$53,AG929-(AG929*AB930),AG929)</f>
        <v>0.36</v>
      </c>
      <c r="AH930" s="562"/>
      <c r="AI930" s="305" t="str">
        <f t="shared" si="136"/>
        <v>Mayor</v>
      </c>
      <c r="AJ930" s="145">
        <f>IF(Y930=[24]Listas!$G$55,AJ929-(AJ929*AB930),AJ929)</f>
        <v>0.8</v>
      </c>
      <c r="AK930" s="562"/>
      <c r="AL930" s="565"/>
      <c r="AM930" s="565"/>
      <c r="AN930" s="565"/>
      <c r="AO930" s="568"/>
      <c r="AP930" s="571"/>
      <c r="AQ930" s="343"/>
      <c r="AR930" s="191"/>
    </row>
    <row r="931" spans="2:70" ht="16" hidden="1" customHeight="1" thickTop="1" x14ac:dyDescent="0.35">
      <c r="B931" s="537"/>
      <c r="C931" s="560"/>
      <c r="D931" s="611"/>
      <c r="E931" s="578"/>
      <c r="F931" s="581"/>
      <c r="G931" s="584"/>
      <c r="H931" s="656"/>
      <c r="I931" s="590"/>
      <c r="J931" s="590"/>
      <c r="K931" s="593"/>
      <c r="L931" s="590"/>
      <c r="M931" s="596"/>
      <c r="N931" s="599"/>
      <c r="O931" s="602"/>
      <c r="P931" s="596"/>
      <c r="Q931" s="605"/>
      <c r="R931" s="602"/>
      <c r="S931" s="293"/>
      <c r="T931" s="605"/>
      <c r="U931" s="202" t="s">
        <v>224</v>
      </c>
      <c r="V931" s="416"/>
      <c r="W931" s="335"/>
      <c r="X931" s="336" t="str">
        <f>IF(W931=[24]Listas!$B$46,[24]Listas!$C$46,IF(W931=[24]Listas!$B$47,[24]Listas!$C$47,IF(W931=[24]Listas!$B$48,[24]Listas!$C$48,"")))</f>
        <v/>
      </c>
      <c r="Y931" s="337" t="str">
        <f>IF(OR(W931=[24]Listas!$F$53,W931=[24]Listas!$F$54),[24]Listas!$G$53,IF(W931=[24]Listas!$F$55,[24]Listas!$G$55,""))</f>
        <v/>
      </c>
      <c r="Z931" s="335"/>
      <c r="AA931" s="186" t="str">
        <f>+IF(Z931=[24]Listas!$E$46,[24]Listas!$F$46,IF(Z931=[24]Listas!$E$47,[24]Listas!$F$47,""))</f>
        <v/>
      </c>
      <c r="AB931" s="187" t="str">
        <f t="shared" si="142"/>
        <v/>
      </c>
      <c r="AC931" s="338"/>
      <c r="AD931" s="339"/>
      <c r="AE931" s="340"/>
      <c r="AF931" s="311" t="str">
        <f t="shared" si="140"/>
        <v>Baja</v>
      </c>
      <c r="AG931" s="179">
        <f>IF(Y931=[24]Listas!$G$53,AG930-(AG930*AB931),AG930)</f>
        <v>0.36</v>
      </c>
      <c r="AH931" s="563"/>
      <c r="AI931" s="311" t="str">
        <f t="shared" si="136"/>
        <v>Mayor</v>
      </c>
      <c r="AJ931" s="179">
        <f>IF(Y931=[24]Listas!$G$55,AJ930-(AJ930*AB931),AJ930)</f>
        <v>0.8</v>
      </c>
      <c r="AK931" s="563"/>
      <c r="AL931" s="566"/>
      <c r="AM931" s="566"/>
      <c r="AN931" s="566"/>
      <c r="AO931" s="569"/>
      <c r="AP931" s="572"/>
      <c r="AQ931" s="359"/>
      <c r="AR931" s="192"/>
    </row>
    <row r="932" spans="2:70" ht="304.5" customHeight="1" thickTop="1" thickBot="1" x14ac:dyDescent="0.4">
      <c r="B932" s="537"/>
      <c r="C932" s="560"/>
      <c r="D932" s="609" t="s">
        <v>1017</v>
      </c>
      <c r="E932" s="576" t="s">
        <v>3</v>
      </c>
      <c r="F932" s="645" t="s">
        <v>1018</v>
      </c>
      <c r="G932" s="648" t="s">
        <v>1019</v>
      </c>
      <c r="H932" s="651" t="s">
        <v>1020</v>
      </c>
      <c r="I932" s="588" t="s">
        <v>28</v>
      </c>
      <c r="J932" s="588" t="s">
        <v>22</v>
      </c>
      <c r="K932" s="591" t="s">
        <v>1021</v>
      </c>
      <c r="L932" s="588" t="s">
        <v>185</v>
      </c>
      <c r="M932" s="594" t="s">
        <v>214</v>
      </c>
      <c r="N932" s="597" t="str">
        <f>+IF(M932="","",IF(M932=$BO$15,$BN$15,IF(M932=$BO$16,$BN$16,IF(M932=$BO$17,$BN$17,IF(M932=$BO$18,$BN$18,IF(M932=$BO$19,$BN$19))))))</f>
        <v>Media</v>
      </c>
      <c r="O932" s="600">
        <f>+IF(M932="","",IF(M932=$BO$15,$BR$15,IF(M932=$BO$16,$BR$16,IF(M932=$BO$17,$BR$17,IF(M932=$BO$18,$BR$18,IF(M932=$BO$19,$BR$19))))))</f>
        <v>0.6</v>
      </c>
      <c r="P932" s="594" t="s">
        <v>218</v>
      </c>
      <c r="Q932" s="603" t="str">
        <f>+IF(P932="","",IF(P932='[24]Mapa de Calor inherente'!$AF$6,'[24]Mapa de Calor inherente'!$AD$6,IF(P932='[24]Mapa de Calor inherente'!$AF$7,'[24]Mapa de Calor inherente'!$AD$7,IF(P932='[24]Mapa de Calor inherente'!$AF$8,'[24]Mapa de Calor inherente'!$AD$8,IF(P932='[24]Mapa de Calor inherente'!$AF$9,'[24]Mapa de Calor inherente'!$AD$9,IF(P932='[24]Mapa de Calor inherente'!$AF$10,'[24]Mapa de Calor inherente'!$AD$10,IF(P932='[24]Mapa de Calor inherente'!$AG$6,'[24]Mapa de Calor inherente'!$AD$6,IF(P932='[24]Mapa de Calor inherente'!$AG$7,'[24]Mapa de Calor inherente'!$AD$7,IF(P932='[24]Mapa de Calor inherente'!$AG$8,'[24]Mapa de Calor inherente'!$AD$8,IF(P932='[24]Mapa de Calor inherente'!$AG$9,'[24]Mapa de Calor inherente'!$AD$9,IF(P932='[24]Mapa de Calor inherente'!$AG$10,'[24]Mapa de Calor inherente'!$AD$10,IF(P932='[24]Mapa de Calor inherente'!$AD$8,'[24]Mapa de Calor inherente'!$AD$8,IF(P932='[24]Mapa de Calor inherente'!$AD$9,'[24]Mapa de Calor inherente'!$AD$9,IF(P932='[24]Mapa de Calor inherente'!$AD$10,'[24]Mapa de Calor inherente'!$AD$10))))))))))))))</f>
        <v>Mayor</v>
      </c>
      <c r="R932" s="600">
        <f>+IF(P932="","",IF(P932='[24]Mapa de Calor inherente'!$AF$6,'[24]Mapa de Calor inherente'!$AE$6,IF(P932='[24]Mapa de Calor inherente'!$AF$7,'[24]Mapa de Calor inherente'!$AE$7,IF(P932='[24]Mapa de Calor inherente'!$AF$8,'[24]Mapa de Calor inherente'!$AE$8,IF(P932='[24]Mapa de Calor inherente'!$AF$9,'[24]Mapa de Calor inherente'!$AE$9,IF(P932='[24]Mapa de Calor inherente'!$AF$10,'[24]Mapa de Calor inherente'!$AE$10,IF(P932='[24]Mapa de Calor inherente'!$AG$6,'[24]Mapa de Calor inherente'!$AE$6,IF(P932='[24]Mapa de Calor inherente'!$AG$7,'[24]Mapa de Calor inherente'!$AE$7,IF(P932='[24]Mapa de Calor inherente'!$AG$8,'[24]Mapa de Calor inherente'!$AE$8,IF(P932='[24]Mapa de Calor inherente'!$AG$9,'[24]Mapa de Calor inherente'!$AE$9,IF(P932='[24]Mapa de Calor inherente'!$AG$10,'[24]Mapa de Calor inherente'!$AE$10,IF(P932='[24]Mapa de Calor inherente'!$AD$8,'[24]Mapa de Calor inherente'!$AE$8,IF(P932='[24]Mapa de Calor inherente'!$AD$9,'[24]Mapa de Calor inherente'!$AE$9,IF(P932='[24]Mapa de Calor inherente'!$AD$10,'[24]Mapa de Calor inherente'!$AE$10))))))))))))))</f>
        <v>0.8</v>
      </c>
      <c r="S932" s="292" t="e">
        <f>IF(N932="","",IF(R932="","",(N932*R932)))</f>
        <v>#VALUE!</v>
      </c>
      <c r="T932" s="603" t="str">
        <f>+IF(N932=$BB$17,IF(Q932=$BC$16,$BC$17,IF(Q932=$BD$16,$BD$17,IF(Q932=$BE$16,$BE$17,IF(Q932=$BF$16,$BF$17,IF(Q932=$BG$16,$BG$17))))),IF(N932=$BB$18,IF(Q932=$BC$16,$BC$18,IF(Q932=$BD$16,$BD$18,IF(Q932=$BE$16,$BE$18,IF(Q932=$BF$16,$BF$18,IF(Q932=$BG$16,$BG$18))))),IF(N932=$BB$19,IF(Q932=$BC$16,$BC$19,IF(Q932=$BD$16,$BD$19,IF(Q932=$BE$16,$BE$19,IF(Q932=$BF$16,$BF$19,IF(Q932=$BG$16,$BG$19))))),IF(N932=$BB$20,IF(Q932=$BC$16,$BC$20,IF(Q932=$BD$16,$BD$20,IF(Q932=$BE$16,$BE$20,IF(Q932=$BF$16,$BF$20,IF(Q932=$BG$16,$BG$20))))),IF(N932=$BB$21,IF(Q932=$BC$16,$BC$21,IF(Q932=$BD$16,$BD$21,IF(Q932=$BE$16,$BE$21,IF(Q932=$BF$16,$BF$21,IF(Q932=$BG$16,$BG$21))))),"")))))</f>
        <v>Alto</v>
      </c>
      <c r="U932" s="139" t="s">
        <v>171</v>
      </c>
      <c r="V932" s="518" t="s">
        <v>1022</v>
      </c>
      <c r="W932" s="313" t="s">
        <v>40</v>
      </c>
      <c r="X932" s="314">
        <f>IF(W932=[24]Listas!$B$46,[24]Listas!$C$46,IF(W932=[24]Listas!$B$47,[24]Listas!$C$47,IF(W932=[24]Listas!$B$48,[24]Listas!$C$48,"")))</f>
        <v>0.25</v>
      </c>
      <c r="Y932" s="315" t="str">
        <f>IF(OR(W932=[24]Listas!$F$53,W932=[24]Listas!$F$54),[24]Listas!$G$53,IF(W932=[24]Listas!$F$55,[24]Listas!$G$55,""))</f>
        <v>Probabilidad</v>
      </c>
      <c r="Z932" s="313" t="s">
        <v>43</v>
      </c>
      <c r="AA932" s="314">
        <f>+IF(Z932=[24]Listas!$E$46,[24]Listas!$F$46,IF(Z932=[24]Listas!$E$47,[24]Listas!$F$47,""))</f>
        <v>0.15</v>
      </c>
      <c r="AB932" s="181">
        <f>IFERROR(X932+AA932,"")</f>
        <v>0.4</v>
      </c>
      <c r="AC932" s="313" t="s">
        <v>57</v>
      </c>
      <c r="AD932" s="316" t="s">
        <v>58</v>
      </c>
      <c r="AE932" s="317" t="s">
        <v>59</v>
      </c>
      <c r="AF932" s="299" t="str">
        <f t="shared" si="140"/>
        <v>Baja</v>
      </c>
      <c r="AG932" s="141">
        <f>IF(Y932=[24]Listas!$G$53,O932-(O932*AB932),O932)</f>
        <v>0.36</v>
      </c>
      <c r="AH932" s="561">
        <f>+IF(AG941="","",AG941)</f>
        <v>0.36</v>
      </c>
      <c r="AI932" s="299" t="str">
        <f>IF(AJ932="","",IF(AJ932&lt;=20%,"Leve",IF(AJ932&lt;=40%,"Menor",IF(AJ932&lt;=60%,"Moderado",IF(AJ932&lt;=80%,"Mayor","Catastrófico")))))</f>
        <v>Mayor</v>
      </c>
      <c r="AJ932" s="141">
        <f>IF(Y932=[24]Listas!$G$55,R932-(R932*AB932),R932)</f>
        <v>0.8</v>
      </c>
      <c r="AK932" s="561">
        <f>+IF(AJ941="","",AJ941)</f>
        <v>0.8</v>
      </c>
      <c r="AL932" s="564" t="str">
        <f>+IF(AH932=0,"",IF(AH932&lt;=$BA$21,$BB$21,IF(AH932&lt;=$BA$20,$BB$20,IF(AH932&lt;=$BA$19,$BB$19,IF(AH932&lt;=$BA$18,$BB$18,IF(AH932&lt;=$BA$17,$BB$17,""))))))</f>
        <v>Baja</v>
      </c>
      <c r="AM932" s="564" t="str">
        <f>+IF(AK932=0,"",IF(AK932&lt;=$BC$15,$BC$16,IF(AK932&lt;=$BD$15,$BD$16,IF(AK932&lt;=$BE$15,$BE$16,IF(AK932&lt;=$BF$15,$BF$16,IF(AK932&lt;=$BG$15,$BG$16,""))))))</f>
        <v>Mayor</v>
      </c>
      <c r="AN932" s="564" t="str">
        <f>IF(AL932=$BB$17,IF(AM932=$BC$16,$BC$17,IF(AM932=$BD$16,$BD$17,IF(AM932=$BE$16,$BE$17,IF(AM932=$BF$16,$BF$17,IF(AM932=$BG$16,$BG$17))))),IF(AL932=$BB$18,IF(AM932=$BC$16,$BC$18,IF(AM932=$BD$16,$BD$18,IF(AM932=$BE$16,$BE$18,IF(AM932=$BF$16,$BF$18,IF(AM932=$BG$16,$BG$18))))),IF(AL932=$BB$19,IF(AM932=$BC$16,$BC$19,IF(AM932=$BD$16,$BD$19,IF(AM932=$BE$16,$BE$19,IF(AM932=$BF$16,$BF$19,IF(AM932=$BG$16,$BG$19))))),IF(AL932=$BB$20,IF(AM932=$BC$16,$BC$20,IF(AM932=$BD$16,$BD$20,IF(AM932=$BE$16,$BE$20,IF(AM932=$BF$16,$BF$20,IF(AM932=$BG$16,$BG$20))))),IF(AL932=$BB$21,IF(AM932=$BC$16,$BC$21,IF(AM932=$BD$16,$BD$21,IF(AM932=$BE$16,$BE$21,IF(AM932=$BF$16,$BF$21,IF(AM932=$BG$16,$BG$21))))),"")))))</f>
        <v>Alto</v>
      </c>
      <c r="AO932" s="567" t="str">
        <f>IF(AP932="","",IF(AP932=[24]Listas!$F$61,[24]Listas!$G$61,IF(AP932=[24]Listas!$F$63,[24]Listas!$G$63,IF(AP932=[24]Listas!$F$64,[24]Listas!$G$64))))</f>
        <v>Requiere Plan de Acción</v>
      </c>
      <c r="AP932" s="570" t="str">
        <f>IF(AN932="","",IF(OR(AN932=[24]Listas!$E$61,AN932=[24]Listas!$E$62),[24]Listas!$F$61,IF(AN932=[24]Listas!$E$63,[24]Listas!$F$63,IF(AN932=[24]Listas!$E$64,[24]Listas!$F$64))))</f>
        <v>Reducir, evitar, compartir o transferir el riesgo</v>
      </c>
      <c r="AQ932" s="358" t="s">
        <v>80</v>
      </c>
      <c r="AR932" s="269" t="s">
        <v>1023</v>
      </c>
    </row>
    <row r="933" spans="2:70" ht="85" thickTop="1" thickBot="1" x14ac:dyDescent="0.4">
      <c r="B933" s="537"/>
      <c r="C933" s="560"/>
      <c r="D933" s="610"/>
      <c r="E933" s="577"/>
      <c r="F933" s="646"/>
      <c r="G933" s="649"/>
      <c r="H933" s="652"/>
      <c r="I933" s="589"/>
      <c r="J933" s="589"/>
      <c r="K933" s="592"/>
      <c r="L933" s="589"/>
      <c r="M933" s="595"/>
      <c r="N933" s="598"/>
      <c r="O933" s="601"/>
      <c r="P933" s="595"/>
      <c r="Q933" s="604"/>
      <c r="R933" s="601"/>
      <c r="S933" s="286"/>
      <c r="T933" s="604"/>
      <c r="U933" s="142" t="s">
        <v>174</v>
      </c>
      <c r="V933" s="418"/>
      <c r="W933" s="319"/>
      <c r="X933" s="320" t="str">
        <f>IF(W933=[24]Listas!$B$46,[24]Listas!$C$46,IF(W933=[24]Listas!$B$47,[24]Listas!$C$47,IF(W933=[24]Listas!$B$48,[24]Listas!$C$48,"")))</f>
        <v/>
      </c>
      <c r="Y933" s="321" t="str">
        <f>IF(OR(W933=[24]Listas!$F$53,W933=[24]Listas!$F$54),[24]Listas!$G$53,IF(W933=[24]Listas!$F$55,[24]Listas!$G$55,""))</f>
        <v/>
      </c>
      <c r="Z933" s="319"/>
      <c r="AA933" s="182" t="str">
        <f>+IF(Z933=[24]Listas!$E$46,[24]Listas!$F$46,IF(Z933=[24]Listas!$E$47,[24]Listas!$F$47,""))</f>
        <v/>
      </c>
      <c r="AB933" s="183" t="str">
        <f>IFERROR(X933+AA933,"")</f>
        <v/>
      </c>
      <c r="AC933" s="319"/>
      <c r="AD933" s="322"/>
      <c r="AE933" s="323"/>
      <c r="AF933" s="305" t="str">
        <f t="shared" si="140"/>
        <v>Baja</v>
      </c>
      <c r="AG933" s="145">
        <f>IF(Y933=[24]Listas!$G$53,AG932-(AG932*AB933),AG932)</f>
        <v>0.36</v>
      </c>
      <c r="AH933" s="562"/>
      <c r="AI933" s="305" t="str">
        <f t="shared" si="136"/>
        <v>Mayor</v>
      </c>
      <c r="AJ933" s="145">
        <f>IF(Y933=[24]Listas!$G$55,AJ932-(AJ932*AB933),AJ932)</f>
        <v>0.8</v>
      </c>
      <c r="AK933" s="562"/>
      <c r="AL933" s="565"/>
      <c r="AM933" s="565"/>
      <c r="AN933" s="565"/>
      <c r="AO933" s="568"/>
      <c r="AP933" s="571"/>
      <c r="AQ933" s="345" t="s">
        <v>80</v>
      </c>
      <c r="AR933" s="273" t="s">
        <v>1024</v>
      </c>
    </row>
    <row r="934" spans="2:70" ht="71" thickTop="1" thickBot="1" x14ac:dyDescent="0.4">
      <c r="B934" s="537"/>
      <c r="C934" s="560"/>
      <c r="D934" s="610"/>
      <c r="E934" s="577"/>
      <c r="F934" s="646"/>
      <c r="G934" s="649"/>
      <c r="H934" s="652"/>
      <c r="I934" s="589"/>
      <c r="J934" s="589"/>
      <c r="K934" s="592"/>
      <c r="L934" s="589"/>
      <c r="M934" s="595"/>
      <c r="N934" s="598"/>
      <c r="O934" s="601"/>
      <c r="P934" s="595"/>
      <c r="Q934" s="604"/>
      <c r="R934" s="601"/>
      <c r="S934" s="287"/>
      <c r="T934" s="604"/>
      <c r="U934" s="142" t="s">
        <v>180</v>
      </c>
      <c r="V934" s="418"/>
      <c r="W934" s="331"/>
      <c r="X934" s="320" t="str">
        <f>IF(W934=[24]Listas!$B$46,[24]Listas!$C$46,IF(W934=[24]Listas!$B$47,[24]Listas!$C$47,IF(W934=[24]Listas!$B$48,[24]Listas!$C$48,"")))</f>
        <v/>
      </c>
      <c r="Y934" s="321" t="str">
        <f>IF(OR(W934=[24]Listas!$F$53,W934=[24]Listas!$F$54),[24]Listas!$G$53,IF(W934=[24]Listas!$F$55,[24]Listas!$G$55,""))</f>
        <v/>
      </c>
      <c r="Z934" s="319"/>
      <c r="AA934" s="182" t="str">
        <f>+IF(Z934=[24]Listas!$E$46,[24]Listas!$F$46,IF(Z934=[24]Listas!$E$47,[24]Listas!$F$47,""))</f>
        <v/>
      </c>
      <c r="AB934" s="183" t="str">
        <f>IFERROR(X934+AA934,"")</f>
        <v/>
      </c>
      <c r="AC934" s="325"/>
      <c r="AD934" s="326"/>
      <c r="AE934" s="327"/>
      <c r="AF934" s="305" t="str">
        <f t="shared" si="140"/>
        <v>Baja</v>
      </c>
      <c r="AG934" s="145">
        <f>IF(Y934=[24]Listas!$G$53,AG933-(AG933*AB934),AG933)</f>
        <v>0.36</v>
      </c>
      <c r="AH934" s="562"/>
      <c r="AI934" s="305" t="str">
        <f t="shared" si="136"/>
        <v>Mayor</v>
      </c>
      <c r="AJ934" s="145">
        <f>IF(Y934=[24]Listas!$G$55,AJ933-(AJ933*AB934),AJ933)</f>
        <v>0.8</v>
      </c>
      <c r="AK934" s="562"/>
      <c r="AL934" s="565"/>
      <c r="AM934" s="565"/>
      <c r="AN934" s="565"/>
      <c r="AO934" s="568"/>
      <c r="AP934" s="571"/>
      <c r="AQ934" s="345" t="s">
        <v>90</v>
      </c>
      <c r="AR934" s="270" t="s">
        <v>1025</v>
      </c>
    </row>
    <row r="935" spans="2:70" ht="20.25" hidden="1" customHeight="1" thickTop="1" thickBot="1" x14ac:dyDescent="0.4">
      <c r="B935" s="537"/>
      <c r="C935" s="560"/>
      <c r="D935" s="610"/>
      <c r="E935" s="577"/>
      <c r="F935" s="646"/>
      <c r="G935" s="649"/>
      <c r="H935" s="652"/>
      <c r="I935" s="589"/>
      <c r="J935" s="589"/>
      <c r="K935" s="592"/>
      <c r="L935" s="589"/>
      <c r="M935" s="595"/>
      <c r="N935" s="598"/>
      <c r="O935" s="601"/>
      <c r="P935" s="595"/>
      <c r="Q935" s="604"/>
      <c r="R935" s="601"/>
      <c r="S935" s="287"/>
      <c r="T935" s="604"/>
      <c r="U935" s="142" t="s">
        <v>190</v>
      </c>
      <c r="V935" s="418"/>
      <c r="W935" s="319"/>
      <c r="X935" s="320" t="str">
        <f>IF(W935=[24]Listas!$B$46,[24]Listas!$C$46,IF(W935=[24]Listas!$B$47,[24]Listas!$C$47,IF(W935=[24]Listas!$B$48,[24]Listas!$C$48,"")))</f>
        <v/>
      </c>
      <c r="Y935" s="321" t="str">
        <f>IF(OR(W935=[24]Listas!$F$53,W935=[24]Listas!$F$54),[24]Listas!$G$53,IF(W935=[24]Listas!$F$55,[24]Listas!$G$55,""))</f>
        <v/>
      </c>
      <c r="Z935" s="319"/>
      <c r="AA935" s="182" t="str">
        <f>+IF(Z935=[24]Listas!$E$46,[24]Listas!$F$46,IF(Z935=[24]Listas!$E$47,[24]Listas!$F$47,""))</f>
        <v/>
      </c>
      <c r="AB935" s="183" t="str">
        <f t="shared" ref="AB935:AB941" si="143">IFERROR(X935+AA935,"")</f>
        <v/>
      </c>
      <c r="AC935" s="328"/>
      <c r="AD935" s="329"/>
      <c r="AE935" s="330"/>
      <c r="AF935" s="305" t="str">
        <f t="shared" si="140"/>
        <v>Baja</v>
      </c>
      <c r="AG935" s="145">
        <f>IF(Y935=[24]Listas!$G$53,AG934-(AG934*AB935),AG934)</f>
        <v>0.36</v>
      </c>
      <c r="AH935" s="562"/>
      <c r="AI935" s="305" t="str">
        <f t="shared" si="136"/>
        <v>Mayor</v>
      </c>
      <c r="AJ935" s="145">
        <f>IF(Y935=[24]Listas!$G$55,AJ934-(AJ934*AB935),AJ934)</f>
        <v>0.8</v>
      </c>
      <c r="AK935" s="562"/>
      <c r="AL935" s="565"/>
      <c r="AM935" s="565"/>
      <c r="AN935" s="565"/>
      <c r="AO935" s="568"/>
      <c r="AP935" s="571"/>
      <c r="AQ935" s="343"/>
      <c r="AR935" s="191"/>
    </row>
    <row r="936" spans="2:70" ht="20.25" hidden="1" customHeight="1" thickTop="1" thickBot="1" x14ac:dyDescent="0.4">
      <c r="B936" s="537"/>
      <c r="C936" s="560"/>
      <c r="D936" s="610"/>
      <c r="E936" s="577"/>
      <c r="F936" s="646"/>
      <c r="G936" s="649"/>
      <c r="H936" s="652"/>
      <c r="I936" s="589"/>
      <c r="J936" s="589"/>
      <c r="K936" s="592"/>
      <c r="L936" s="589"/>
      <c r="M936" s="595"/>
      <c r="N936" s="598"/>
      <c r="O936" s="601"/>
      <c r="P936" s="595"/>
      <c r="Q936" s="604"/>
      <c r="R936" s="601"/>
      <c r="S936" s="287"/>
      <c r="T936" s="604"/>
      <c r="U936" s="142" t="s">
        <v>198</v>
      </c>
      <c r="V936" s="418"/>
      <c r="W936" s="331"/>
      <c r="X936" s="320" t="str">
        <f>IF(W936=[24]Listas!$B$46,[24]Listas!$C$46,IF(W936=[24]Listas!$B$47,[24]Listas!$C$47,IF(W936=[24]Listas!$B$48,[24]Listas!$C$48,"")))</f>
        <v/>
      </c>
      <c r="Y936" s="321" t="str">
        <f>IF(OR(W936=[24]Listas!$F$53,W936=[24]Listas!$F$54),[24]Listas!$G$53,IF(W936=[24]Listas!$F$55,[24]Listas!$G$55,""))</f>
        <v/>
      </c>
      <c r="Z936" s="331"/>
      <c r="AA936" s="182" t="str">
        <f>+IF(Z936=[24]Listas!$E$46,[24]Listas!$F$46,IF(Z936=[24]Listas!$E$47,[24]Listas!$F$47,""))</f>
        <v/>
      </c>
      <c r="AB936" s="183" t="str">
        <f t="shared" si="143"/>
        <v/>
      </c>
      <c r="AC936" s="319"/>
      <c r="AD936" s="322"/>
      <c r="AE936" s="323"/>
      <c r="AF936" s="305" t="str">
        <f t="shared" si="140"/>
        <v>Baja</v>
      </c>
      <c r="AG936" s="145">
        <f>IF(Y936=[24]Listas!$G$53,AG935-(AG935*AB936),AG935)</f>
        <v>0.36</v>
      </c>
      <c r="AH936" s="562"/>
      <c r="AI936" s="305" t="str">
        <f t="shared" si="136"/>
        <v>Mayor</v>
      </c>
      <c r="AJ936" s="145">
        <f>IF(Y936=[24]Listas!$G$55,AJ935-(AJ935*AB936),AJ935)</f>
        <v>0.8</v>
      </c>
      <c r="AK936" s="562"/>
      <c r="AL936" s="565"/>
      <c r="AM936" s="565"/>
      <c r="AN936" s="565"/>
      <c r="AO936" s="568"/>
      <c r="AP936" s="571"/>
      <c r="AQ936" s="343"/>
      <c r="AR936" s="191"/>
    </row>
    <row r="937" spans="2:70" ht="20.25" hidden="1" customHeight="1" thickTop="1" thickBot="1" x14ac:dyDescent="0.4">
      <c r="B937" s="537"/>
      <c r="C937" s="560"/>
      <c r="D937" s="610"/>
      <c r="E937" s="577"/>
      <c r="F937" s="646"/>
      <c r="G937" s="649"/>
      <c r="H937" s="652"/>
      <c r="I937" s="589"/>
      <c r="J937" s="589"/>
      <c r="K937" s="592"/>
      <c r="L937" s="589"/>
      <c r="M937" s="595"/>
      <c r="N937" s="598"/>
      <c r="O937" s="601"/>
      <c r="P937" s="595"/>
      <c r="Q937" s="604"/>
      <c r="R937" s="601"/>
      <c r="S937" s="288"/>
      <c r="T937" s="604"/>
      <c r="U937" s="142" t="s">
        <v>208</v>
      </c>
      <c r="V937" s="418"/>
      <c r="W937" s="331"/>
      <c r="X937" s="320" t="str">
        <f>IF(W937=[24]Listas!$B$46,[24]Listas!$C$46,IF(W937=[24]Listas!$B$47,[24]Listas!$C$47,IF(W937=[24]Listas!$B$48,[24]Listas!$C$48,"")))</f>
        <v/>
      </c>
      <c r="Y937" s="321" t="str">
        <f>IF(OR(W937=[24]Listas!$F$53,W937=[24]Listas!$F$54),[24]Listas!$G$53,IF(W937=[24]Listas!$F$55,[24]Listas!$G$55,""))</f>
        <v/>
      </c>
      <c r="Z937" s="331"/>
      <c r="AA937" s="182" t="str">
        <f>+IF(Z937=[24]Listas!$E$46,[24]Listas!$F$46,IF(Z937=[24]Listas!$E$47,[24]Listas!$F$47,""))</f>
        <v/>
      </c>
      <c r="AB937" s="183" t="str">
        <f t="shared" si="143"/>
        <v/>
      </c>
      <c r="AC937" s="319"/>
      <c r="AD937" s="322"/>
      <c r="AE937" s="323"/>
      <c r="AF937" s="305" t="str">
        <f t="shared" si="140"/>
        <v>Baja</v>
      </c>
      <c r="AG937" s="145">
        <f>IF(Y937=[24]Listas!$G$53,AG936-(AG936*AB937),AG936)</f>
        <v>0.36</v>
      </c>
      <c r="AH937" s="562"/>
      <c r="AI937" s="305" t="str">
        <f t="shared" si="136"/>
        <v>Mayor</v>
      </c>
      <c r="AJ937" s="145">
        <f>IF(Y937=[24]Listas!$G$55,AJ936-(AJ936*AB937),AJ936)</f>
        <v>0.8</v>
      </c>
      <c r="AK937" s="562"/>
      <c r="AL937" s="565"/>
      <c r="AM937" s="565"/>
      <c r="AN937" s="565"/>
      <c r="AO937" s="568"/>
      <c r="AP937" s="571"/>
      <c r="AQ937" s="343"/>
      <c r="AR937" s="191"/>
    </row>
    <row r="938" spans="2:70" ht="20.25" hidden="1" customHeight="1" thickTop="1" thickBot="1" x14ac:dyDescent="0.4">
      <c r="B938" s="537"/>
      <c r="C938" s="560"/>
      <c r="D938" s="610"/>
      <c r="E938" s="577"/>
      <c r="F938" s="646"/>
      <c r="G938" s="649"/>
      <c r="H938" s="652"/>
      <c r="I938" s="589"/>
      <c r="J938" s="589"/>
      <c r="K938" s="592"/>
      <c r="L938" s="589"/>
      <c r="M938" s="595"/>
      <c r="N938" s="598"/>
      <c r="O938" s="601"/>
      <c r="P938" s="595"/>
      <c r="Q938" s="604"/>
      <c r="R938" s="601"/>
      <c r="S938" s="289"/>
      <c r="T938" s="604"/>
      <c r="U938" s="142" t="s">
        <v>215</v>
      </c>
      <c r="V938" s="418"/>
      <c r="W938" s="331"/>
      <c r="X938" s="320" t="str">
        <f>IF(W938=[24]Listas!$B$46,[24]Listas!$C$46,IF(W938=[24]Listas!$B$47,[24]Listas!$C$47,IF(W938=[24]Listas!$B$48,[24]Listas!$C$48,"")))</f>
        <v/>
      </c>
      <c r="Y938" s="321" t="str">
        <f>IF(OR(W938=[24]Listas!$F$53,W938=[24]Listas!$F$54),[24]Listas!$G$53,IF(W938=[24]Listas!$F$55,[24]Listas!$G$55,""))</f>
        <v/>
      </c>
      <c r="Z938" s="331"/>
      <c r="AA938" s="182" t="str">
        <f>+IF(Z938=[24]Listas!$E$46,[24]Listas!$F$46,IF(Z938=[24]Listas!$E$47,[24]Listas!$F$47,""))</f>
        <v/>
      </c>
      <c r="AB938" s="183" t="str">
        <f t="shared" si="143"/>
        <v/>
      </c>
      <c r="AC938" s="319"/>
      <c r="AD938" s="322"/>
      <c r="AE938" s="323"/>
      <c r="AF938" s="305" t="str">
        <f t="shared" si="140"/>
        <v>Baja</v>
      </c>
      <c r="AG938" s="145">
        <f>IF(Y938=[24]Listas!$G$53,AG937-(AG937*AB938),AG937)</f>
        <v>0.36</v>
      </c>
      <c r="AH938" s="562"/>
      <c r="AI938" s="305" t="str">
        <f t="shared" si="136"/>
        <v>Mayor</v>
      </c>
      <c r="AJ938" s="145">
        <f>IF(Y938=[24]Listas!$G$55,AJ937-(AJ937*AB938),AJ937)</f>
        <v>0.8</v>
      </c>
      <c r="AK938" s="562"/>
      <c r="AL938" s="565"/>
      <c r="AM938" s="565"/>
      <c r="AN938" s="565"/>
      <c r="AO938" s="568"/>
      <c r="AP938" s="571"/>
      <c r="AQ938" s="344"/>
      <c r="AR938" s="191"/>
    </row>
    <row r="939" spans="2:70" ht="20.25" hidden="1" customHeight="1" thickTop="1" thickBot="1" x14ac:dyDescent="0.4">
      <c r="B939" s="537"/>
      <c r="C939" s="560"/>
      <c r="D939" s="610"/>
      <c r="E939" s="577"/>
      <c r="F939" s="646"/>
      <c r="G939" s="649"/>
      <c r="H939" s="652"/>
      <c r="I939" s="589"/>
      <c r="J939" s="589"/>
      <c r="K939" s="592"/>
      <c r="L939" s="589"/>
      <c r="M939" s="595"/>
      <c r="N939" s="598"/>
      <c r="O939" s="601"/>
      <c r="P939" s="595"/>
      <c r="Q939" s="604"/>
      <c r="R939" s="601"/>
      <c r="S939" s="289"/>
      <c r="T939" s="604"/>
      <c r="U939" s="142" t="s">
        <v>220</v>
      </c>
      <c r="V939" s="418"/>
      <c r="W939" s="331"/>
      <c r="X939" s="320" t="str">
        <f>IF(W939=[24]Listas!$B$46,[24]Listas!$C$46,IF(W939=[24]Listas!$B$47,[24]Listas!$C$47,IF(W939=[24]Listas!$B$48,[24]Listas!$C$48,"")))</f>
        <v/>
      </c>
      <c r="Y939" s="321" t="str">
        <f>IF(OR(W939=[24]Listas!$F$53,W939=[24]Listas!$F$54),[24]Listas!$G$53,IF(W939=[24]Listas!$F$55,[24]Listas!$G$55,""))</f>
        <v/>
      </c>
      <c r="Z939" s="331"/>
      <c r="AA939" s="182" t="str">
        <f>+IF(Z939=[24]Listas!$E$46,[24]Listas!$F$46,IF(Z939=[24]Listas!$E$47,[24]Listas!$F$47,""))</f>
        <v/>
      </c>
      <c r="AB939" s="183" t="str">
        <f t="shared" si="143"/>
        <v/>
      </c>
      <c r="AC939" s="319"/>
      <c r="AD939" s="322"/>
      <c r="AE939" s="323"/>
      <c r="AF939" s="305" t="str">
        <f t="shared" si="140"/>
        <v>Baja</v>
      </c>
      <c r="AG939" s="145">
        <f>IF(Y939=[24]Listas!$G$53,AG938-(AG938*AB939),AG938)</f>
        <v>0.36</v>
      </c>
      <c r="AH939" s="562"/>
      <c r="AI939" s="305" t="str">
        <f t="shared" si="136"/>
        <v>Mayor</v>
      </c>
      <c r="AJ939" s="145">
        <f>IF(Y939=[24]Listas!$G$55,AJ938-(AJ938*AB939),AJ938)</f>
        <v>0.8</v>
      </c>
      <c r="AK939" s="562"/>
      <c r="AL939" s="565"/>
      <c r="AM939" s="565"/>
      <c r="AN939" s="565"/>
      <c r="AO939" s="568"/>
      <c r="AP939" s="571"/>
      <c r="AQ939" s="345"/>
      <c r="AR939" s="191"/>
    </row>
    <row r="940" spans="2:70" ht="20.25" hidden="1" customHeight="1" thickTop="1" thickBot="1" x14ac:dyDescent="0.4">
      <c r="B940" s="537"/>
      <c r="C940" s="560"/>
      <c r="D940" s="610"/>
      <c r="E940" s="577"/>
      <c r="F940" s="646"/>
      <c r="G940" s="649"/>
      <c r="H940" s="652"/>
      <c r="I940" s="589"/>
      <c r="J940" s="589"/>
      <c r="K940" s="592"/>
      <c r="L940" s="589"/>
      <c r="M940" s="595"/>
      <c r="N940" s="598"/>
      <c r="O940" s="601"/>
      <c r="P940" s="595"/>
      <c r="Q940" s="604"/>
      <c r="R940" s="601"/>
      <c r="S940" s="289"/>
      <c r="T940" s="604"/>
      <c r="U940" s="142" t="s">
        <v>223</v>
      </c>
      <c r="V940" s="418"/>
      <c r="W940" s="331"/>
      <c r="X940" s="320" t="str">
        <f>IF(W940=[24]Listas!$B$46,[24]Listas!$C$46,IF(W940=[24]Listas!$B$47,[24]Listas!$C$47,IF(W940=[24]Listas!$B$48,[24]Listas!$C$48,"")))</f>
        <v/>
      </c>
      <c r="Y940" s="321" t="str">
        <f>IF(OR(W940=[24]Listas!$F$53,W940=[24]Listas!$F$54),[24]Listas!$G$53,IF(W940=[24]Listas!$F$55,[24]Listas!$G$55,""))</f>
        <v/>
      </c>
      <c r="Z940" s="331"/>
      <c r="AA940" s="182" t="str">
        <f>+IF(Z940=[24]Listas!$E$46,[24]Listas!$F$46,IF(Z940=[24]Listas!$E$47,[24]Listas!$F$47,""))</f>
        <v/>
      </c>
      <c r="AB940" s="183" t="str">
        <f t="shared" si="143"/>
        <v/>
      </c>
      <c r="AC940" s="319"/>
      <c r="AD940" s="322"/>
      <c r="AE940" s="323"/>
      <c r="AF940" s="305" t="str">
        <f t="shared" si="140"/>
        <v>Baja</v>
      </c>
      <c r="AG940" s="145">
        <f>IF(Y940=[24]Listas!$G$53,AG939-(AG939*AB940),AG939)</f>
        <v>0.36</v>
      </c>
      <c r="AH940" s="562"/>
      <c r="AI940" s="305" t="str">
        <f t="shared" si="136"/>
        <v>Mayor</v>
      </c>
      <c r="AJ940" s="145">
        <f>IF(Y940=[24]Listas!$G$55,AJ939-(AJ939*AB940),AJ939)</f>
        <v>0.8</v>
      </c>
      <c r="AK940" s="562"/>
      <c r="AL940" s="565"/>
      <c r="AM940" s="565"/>
      <c r="AN940" s="565"/>
      <c r="AO940" s="568"/>
      <c r="AP940" s="571"/>
      <c r="AQ940" s="345"/>
      <c r="AR940" s="191"/>
    </row>
    <row r="941" spans="2:70" ht="20.25" hidden="1" customHeight="1" thickTop="1" thickBot="1" x14ac:dyDescent="0.4">
      <c r="B941" s="537"/>
      <c r="C941" s="560"/>
      <c r="D941" s="611"/>
      <c r="E941" s="578"/>
      <c r="F941" s="647"/>
      <c r="G941" s="650"/>
      <c r="H941" s="653"/>
      <c r="I941" s="590"/>
      <c r="J941" s="590"/>
      <c r="K941" s="593"/>
      <c r="L941" s="590"/>
      <c r="M941" s="596"/>
      <c r="N941" s="599"/>
      <c r="O941" s="602"/>
      <c r="P941" s="596"/>
      <c r="Q941" s="605"/>
      <c r="R941" s="602"/>
      <c r="S941" s="293"/>
      <c r="T941" s="605"/>
      <c r="U941" s="202" t="s">
        <v>224</v>
      </c>
      <c r="V941" s="416"/>
      <c r="W941" s="335"/>
      <c r="X941" s="336" t="str">
        <f>IF(W941=[24]Listas!$B$46,[24]Listas!$C$46,IF(W941=[24]Listas!$B$47,[24]Listas!$C$47,IF(W941=[24]Listas!$B$48,[24]Listas!$C$48,"")))</f>
        <v/>
      </c>
      <c r="Y941" s="337" t="str">
        <f>IF(OR(W941=[24]Listas!$F$53,W941=[24]Listas!$F$54),[24]Listas!$G$53,IF(W941=[24]Listas!$F$55,[24]Listas!$G$55,""))</f>
        <v/>
      </c>
      <c r="Z941" s="335"/>
      <c r="AA941" s="186" t="str">
        <f>+IF(Z941=[24]Listas!$E$46,[24]Listas!$F$46,IF(Z941=[24]Listas!$E$47,[24]Listas!$F$47,""))</f>
        <v/>
      </c>
      <c r="AB941" s="187" t="str">
        <f t="shared" si="143"/>
        <v/>
      </c>
      <c r="AC941" s="338"/>
      <c r="AD941" s="339"/>
      <c r="AE941" s="340"/>
      <c r="AF941" s="311" t="str">
        <f t="shared" si="140"/>
        <v>Baja</v>
      </c>
      <c r="AG941" s="179">
        <f>IF(Y941=[24]Listas!$G$53,AG940-(AG940*AB941),AG940)</f>
        <v>0.36</v>
      </c>
      <c r="AH941" s="563"/>
      <c r="AI941" s="311" t="str">
        <f t="shared" si="136"/>
        <v>Mayor</v>
      </c>
      <c r="AJ941" s="179">
        <f>IF(Y941=[24]Listas!$G$55,AJ940-(AJ940*AB941),AJ940)</f>
        <v>0.8</v>
      </c>
      <c r="AK941" s="563"/>
      <c r="AL941" s="566"/>
      <c r="AM941" s="566"/>
      <c r="AN941" s="566"/>
      <c r="AO941" s="569"/>
      <c r="AP941" s="572"/>
      <c r="AQ941" s="346"/>
      <c r="AR941" s="192"/>
    </row>
    <row r="942" spans="2:70" ht="234.65" customHeight="1" thickTop="1" thickBot="1" x14ac:dyDescent="0.4">
      <c r="B942" s="537"/>
      <c r="C942" s="560" t="s">
        <v>113</v>
      </c>
      <c r="D942" s="573" t="s">
        <v>1026</v>
      </c>
      <c r="E942" s="576" t="s">
        <v>4</v>
      </c>
      <c r="F942" s="624" t="s">
        <v>1027</v>
      </c>
      <c r="G942" s="627" t="s">
        <v>1028</v>
      </c>
      <c r="H942" s="627" t="s">
        <v>1029</v>
      </c>
      <c r="I942" s="588" t="s">
        <v>28</v>
      </c>
      <c r="J942" s="588" t="s">
        <v>22</v>
      </c>
      <c r="K942" s="591"/>
      <c r="L942" s="588" t="s">
        <v>186</v>
      </c>
      <c r="M942" s="594" t="s">
        <v>169</v>
      </c>
      <c r="N942" s="597" t="str">
        <f>+IF(M942="","",IF(M942=$BO$15,$BN$15,IF(M942=$BO$16,$BN$16,IF(M942=$BO$17,$BN$17,IF(M942=$BO$18,$BN$18,IF(M942=$BO$19,$BN$19))))))</f>
        <v>Alta</v>
      </c>
      <c r="O942" s="600">
        <f>+IF(M942="","",IF(M942=$BO$15,$BR$15,IF(M942=$BO$16,$BR$16,IF(M942=$BO$17,$BR$17,IF(M942=$BO$18,$BR$18,IF(M942=$BO$19,$BR$19))))))</f>
        <v>0.8</v>
      </c>
      <c r="P942" s="594" t="s">
        <v>205</v>
      </c>
      <c r="Q942" s="603" t="str">
        <f>+IF(P942="","",IF(P942='[25]Mapa de Calor inherente'!$AF$6,'[25]Mapa de Calor inherente'!$AD$6,IF(P942='[25]Mapa de Calor inherente'!$AF$7,'[25]Mapa de Calor inherente'!$AD$7,IF(P942='[25]Mapa de Calor inherente'!$AF$8,'[25]Mapa de Calor inherente'!$AD$8,IF(P942='[25]Mapa de Calor inherente'!$AF$9,'[25]Mapa de Calor inherente'!$AD$9,IF(P942='[25]Mapa de Calor inherente'!$AF$10,'[25]Mapa de Calor inherente'!$AD$10,IF(P942='[25]Mapa de Calor inherente'!$AG$6,'[25]Mapa de Calor inherente'!$AD$6,IF(P942='[25]Mapa de Calor inherente'!$AG$7,'[25]Mapa de Calor inherente'!$AD$7,IF(P942='[25]Mapa de Calor inherente'!$AG$8,'[25]Mapa de Calor inherente'!$AD$8,IF(P942='[25]Mapa de Calor inherente'!$AG$9,'[25]Mapa de Calor inherente'!$AD$9,IF(P942='[25]Mapa de Calor inherente'!$AG$10,'[25]Mapa de Calor inherente'!$AD$10,IF(P942='[25]Mapa de Calor inherente'!$AD$8,'[25]Mapa de Calor inherente'!$AD$8,IF(P942='[25]Mapa de Calor inherente'!$AD$9,'[25]Mapa de Calor inherente'!$AD$9,IF(P942='[25]Mapa de Calor inherente'!$AD$10,'[25]Mapa de Calor inherente'!$AD$10))))))))))))))</f>
        <v>Menor</v>
      </c>
      <c r="R942" s="600">
        <f>+IF(P942="","",IF(P942='[25]Mapa de Calor inherente'!$AF$6,'[25]Mapa de Calor inherente'!$AE$6,IF(P942='[25]Mapa de Calor inherente'!$AF$7,'[25]Mapa de Calor inherente'!$AE$7,IF(P942='[25]Mapa de Calor inherente'!$AF$8,'[25]Mapa de Calor inherente'!$AE$8,IF(P942='[25]Mapa de Calor inherente'!$AF$9,'[25]Mapa de Calor inherente'!$AE$9,IF(P942='[25]Mapa de Calor inherente'!$AF$10,'[25]Mapa de Calor inherente'!$AE$10,IF(P942='[25]Mapa de Calor inherente'!$AG$6,'[25]Mapa de Calor inherente'!$AE$6,IF(P942='[25]Mapa de Calor inherente'!$AG$7,'[25]Mapa de Calor inherente'!$AE$7,IF(P942='[25]Mapa de Calor inherente'!$AG$8,'[25]Mapa de Calor inherente'!$AE$8,IF(P942='[25]Mapa de Calor inherente'!$AG$9,'[25]Mapa de Calor inherente'!$AE$9,IF(P942='[25]Mapa de Calor inherente'!$AG$10,'[25]Mapa de Calor inherente'!$AE$10,IF(P942='[25]Mapa de Calor inherente'!$AD$8,'[25]Mapa de Calor inherente'!$AE$8,IF(P942='[25]Mapa de Calor inherente'!$AD$9,'[25]Mapa de Calor inherente'!$AE$9,IF(P942='[25]Mapa de Calor inherente'!$AD$10,'[25]Mapa de Calor inherente'!$AE$10))))))))))))))</f>
        <v>0.4</v>
      </c>
      <c r="S942" s="282">
        <f>IF(O942="","",IF(R942="","",(O942*R942)))</f>
        <v>0.32000000000000006</v>
      </c>
      <c r="T942" s="603" t="str">
        <f>+IF(N942=$BB$17,IF(Q942=$BC$16,$BC$17,IF(Q942=$BD$16,$BD$17,IF(Q942=$BE$16,$BE$17,IF(Q942=$BF$16,$BF$17,IF(Q942=$BG$16,$BG$17))))),IF(N942=$BB$18,IF(Q942=$BC$16,$BC$18,IF(Q942=$BD$16,$BD$18,IF(Q942=$BE$16,$BE$18,IF(Q942=$BF$16,$BF$18,IF(Q942=$BG$16,$BG$18))))),IF(N942=$BB$19,IF(Q942=$BC$16,$BC$19,IF(Q942=$BD$16,$BD$19,IF(Q942=$BE$16,$BE$19,IF(Q942=$BF$16,$BF$19,IF(Q942=$BG$16,$BG$19))))),IF(N942=$BB$20,IF(Q942=$BC$16,$BC$20,IF(Q942=$BD$16,$BD$20,IF(Q942=$BE$16,$BE$20,IF(Q942=$BF$16,$BF$20,IF(Q942=$BG$16,$BG$20))))),IF(N942=$BB$21,IF(Q942=$BC$16,$BC$21,IF(Q942=$BD$16,$BD$21,IF(Q942=$BE$16,$BE$21,IF(Q942=$BF$16,$BF$21,IF(Q942=$BG$16,$BG$21))))),"")))))</f>
        <v>Moderado</v>
      </c>
      <c r="U942" s="139" t="s">
        <v>171</v>
      </c>
      <c r="V942" s="519" t="s">
        <v>1030</v>
      </c>
      <c r="W942" s="295" t="s">
        <v>40</v>
      </c>
      <c r="X942" s="296">
        <f>IF(W942=[25]Listas!$B$46,[25]Listas!$C$46,IF(W942=[25]Listas!$B$47,[25]Listas!$C$47,IF(W942=[25]Listas!$B$48,[25]Listas!$C$48,"")))</f>
        <v>0.25</v>
      </c>
      <c r="Y942" s="297" t="str">
        <f>IF(OR(W942=[25]Listas!$F$53,W942=[25]Listas!$F$54),[25]Listas!$G$53,IF(W942=[25]Listas!$F$55,[25]Listas!$G$55,""))</f>
        <v>Probabilidad</v>
      </c>
      <c r="Z942" s="295" t="s">
        <v>41</v>
      </c>
      <c r="AA942" s="296">
        <f>+IF(Z942=[25]Listas!$E$46,[25]Listas!$F$46,IF(Z942=[25]Listas!$E$47,[25]Listas!$F$47,""))</f>
        <v>0.25</v>
      </c>
      <c r="AB942" s="140">
        <f>IFERROR(X942+AA942,"")</f>
        <v>0.5</v>
      </c>
      <c r="AC942" s="291" t="s">
        <v>57</v>
      </c>
      <c r="AD942" s="295" t="s">
        <v>58</v>
      </c>
      <c r="AE942" s="298" t="s">
        <v>59</v>
      </c>
      <c r="AF942" s="299" t="str">
        <f t="shared" si="140"/>
        <v>Baja</v>
      </c>
      <c r="AG942" s="141">
        <f>IF(Y942=[25]Listas!$G$53,O942-(O942*AB942),O942)</f>
        <v>0.4</v>
      </c>
      <c r="AH942" s="561">
        <f>+IF(AG951="","",AG951)</f>
        <v>0.24</v>
      </c>
      <c r="AI942" s="299" t="str">
        <f>IF(AJ942="","",IF(AJ942&lt;=20%,"Leve",IF(AJ942&lt;=40%,"Menor",IF(AJ942&lt;=60%,"Moderado",IF(AJ942&lt;=80%,"Mayor","Catastrófico")))))</f>
        <v>Menor</v>
      </c>
      <c r="AJ942" s="141">
        <f>IF(Y942=[25]Listas!$G$55,R942-(R942*AB942),R942)</f>
        <v>0.4</v>
      </c>
      <c r="AK942" s="561">
        <f>+IF(AJ951="","",AJ951)</f>
        <v>0.4</v>
      </c>
      <c r="AL942" s="564" t="str">
        <f>+IF(AH942=0,"",IF(AH942&lt;=$BA$21,$BB$21,IF(AH942&lt;=$BA$20,$BB$20,IF(AH942&lt;=$BA$19,$BB$19,IF(AH942&lt;=$BA$18,$BB$18,IF(AH942&lt;=$BA$17,$BB$17,""))))))</f>
        <v>Baja</v>
      </c>
      <c r="AM942" s="564" t="str">
        <f>+IF(AK942=0,"",IF(AK942&lt;=$BC$15,$BC$16,IF(AK942&lt;=$BD$15,$BD$16,IF(AK942&lt;=$BE$15,$BE$16,IF(AK942&lt;=$BF$15,$BF$16,IF(AK942&lt;=$BG$15,$BG$16,""))))))</f>
        <v>Menor</v>
      </c>
      <c r="AN942" s="564" t="str">
        <f>IF(AL942=$BB$17,IF(AM942=$BC$16,$BC$17,IF(AM942=$BD$16,$BD$17,IF(AM942=$BE$16,$BE$17,IF(AM942=$BF$16,$BF$17,IF(AM942=$BG$16,$BG$17))))),IF(AL942=$BB$18,IF(AM942=$BC$16,$BC$18,IF(AM942=$BD$16,$BD$18,IF(AM942=$BE$16,$BE$18,IF(AM942=$BF$16,$BF$18,IF(AM942=$BG$16,$BG$18))))),IF(AL942=$BB$19,IF(AM942=$BC$16,$BC$19,IF(AM942=$BD$16,$BD$19,IF(AM942=$BE$16,$BE$19,IF(AM942=$BF$16,$BF$19,IF(AM942=$BG$16,$BG$19))))),IF(AL942=$BB$20,IF(AM942=$BC$16,$BC$20,IF(AM942=$BD$16,$BD$20,IF(AM942=$BE$16,$BE$20,IF(AM942=$BF$16,$BF$20,IF(AM942=$BG$16,$BG$20))))),IF(AL942=$BB$21,IF(AM942=$BC$16,$BC$21,IF(AM942=$BD$16,$BD$21,IF(AM942=$BE$16,$BE$21,IF(AM942=$BF$16,$BF$21,IF(AM942=$BG$16,$BG$21))))),"")))))</f>
        <v>Moderado</v>
      </c>
      <c r="AO942" s="567" t="str">
        <f>IF(AP942="","",IF(AP942=[25]Listas!$F$61,[25]Listas!$G$61,IF(AP942=[25]Listas!$F$63,[25]Listas!$G$63,IF(AP942=[25]Listas!$F$64,[25]Listas!$G$64))))</f>
        <v>Requiere Plan de Acción</v>
      </c>
      <c r="AP942" s="630" t="str">
        <f>IF(AN942="","",IF(OR(AN942=[25]Listas!$E$61,AN942=[25]Listas!$E$62),[25]Listas!$F$61,IF(AN942=[25]Listas!$E$63,[25]Listas!$F$63,IF(AN942=[25]Listas!$E$64,[25]Listas!$F$64))))</f>
        <v>Aceptar o reducir el riesgo</v>
      </c>
      <c r="AQ942" s="300" t="s">
        <v>80</v>
      </c>
      <c r="AR942" s="274" t="s">
        <v>1031</v>
      </c>
    </row>
    <row r="943" spans="2:70" ht="111" customHeight="1" thickTop="1" thickBot="1" x14ac:dyDescent="0.35">
      <c r="B943" s="537"/>
      <c r="C943" s="560"/>
      <c r="D943" s="574"/>
      <c r="E943" s="577"/>
      <c r="F943" s="625"/>
      <c r="G943" s="628"/>
      <c r="H943" s="628"/>
      <c r="I943" s="589"/>
      <c r="J943" s="589"/>
      <c r="K943" s="592"/>
      <c r="L943" s="589"/>
      <c r="M943" s="595"/>
      <c r="N943" s="598"/>
      <c r="O943" s="601"/>
      <c r="P943" s="595"/>
      <c r="Q943" s="604"/>
      <c r="R943" s="601"/>
      <c r="S943" s="283"/>
      <c r="T943" s="604"/>
      <c r="U943" s="142" t="s">
        <v>174</v>
      </c>
      <c r="V943" s="520" t="s">
        <v>1032</v>
      </c>
      <c r="W943" s="301" t="s">
        <v>40</v>
      </c>
      <c r="X943" s="302">
        <f>IF(W943=[25]Listas!$B$46,[25]Listas!$C$46,IF(W943=[25]Listas!$B$47,[25]Listas!$C$47,IF(W943=[25]Listas!$B$48,[25]Listas!$C$48,"")))</f>
        <v>0.25</v>
      </c>
      <c r="Y943" s="303" t="str">
        <f>IF(OR(W943=[25]Listas!$F$53,W943=[25]Listas!$F$54),[25]Listas!$G$53,IF(W943=[25]Listas!$F$55,[25]Listas!$G$55,""))</f>
        <v>Probabilidad</v>
      </c>
      <c r="Z943" s="301" t="s">
        <v>43</v>
      </c>
      <c r="AA943" s="143">
        <f>+IF(Z943=[25]Listas!$E$46,[25]Listas!$F$46,IF(Z943=[25]Listas!$E$47,[25]Listas!$F$47,""))</f>
        <v>0.15</v>
      </c>
      <c r="AB943" s="144">
        <f>IFERROR(X943+AA943,"")</f>
        <v>0.4</v>
      </c>
      <c r="AC943" s="301" t="s">
        <v>57</v>
      </c>
      <c r="AD943" s="301" t="s">
        <v>58</v>
      </c>
      <c r="AE943" s="304" t="s">
        <v>59</v>
      </c>
      <c r="AF943" s="305" t="str">
        <f t="shared" si="140"/>
        <v>Baja</v>
      </c>
      <c r="AG943" s="145">
        <f>IF(Y943=[25]Listas!$G$53,AG942-(AG942*AB943),AG942)</f>
        <v>0.24</v>
      </c>
      <c r="AH943" s="562"/>
      <c r="AI943" s="305" t="str">
        <f t="shared" ref="AI943:AI961" si="144">IF(AJ943="","",IF(AJ943&lt;=20%,"Leve",IF(AJ943&lt;=40%,"Menor",IF(AJ943&lt;=60%,"Moderado",IF(AJ943&lt;=80%,"Mayor","Catastrófico")))))</f>
        <v>Menor</v>
      </c>
      <c r="AJ943" s="145">
        <f>IF(Y943=[25]Listas!$G$55,AJ942-(AJ942*AB943),AJ942)</f>
        <v>0.4</v>
      </c>
      <c r="AK943" s="562"/>
      <c r="AL943" s="565"/>
      <c r="AM943" s="565"/>
      <c r="AN943" s="565"/>
      <c r="AO943" s="568"/>
      <c r="AP943" s="631"/>
      <c r="AQ943" s="306"/>
      <c r="AR943" s="191"/>
      <c r="AZ943" s="633" t="s">
        <v>177</v>
      </c>
      <c r="BA943" s="634"/>
      <c r="BB943" s="634"/>
      <c r="BC943" s="634"/>
      <c r="BD943" s="634"/>
      <c r="BE943" s="634"/>
      <c r="BF943" s="634"/>
      <c r="BG943" s="635"/>
      <c r="BI943" s="636" t="s">
        <v>178</v>
      </c>
      <c r="BJ943" s="637"/>
      <c r="BK943" s="637"/>
      <c r="BL943" s="638"/>
      <c r="BN943" s="639" t="s">
        <v>179</v>
      </c>
      <c r="BO943" s="640"/>
      <c r="BP943" s="641"/>
      <c r="BQ943" s="641"/>
      <c r="BR943" s="642"/>
    </row>
    <row r="944" spans="2:70" ht="32.25" hidden="1" customHeight="1" thickBot="1" x14ac:dyDescent="0.35">
      <c r="B944" s="537"/>
      <c r="C944" s="560"/>
      <c r="D944" s="574"/>
      <c r="E944" s="577"/>
      <c r="F944" s="625"/>
      <c r="G944" s="628"/>
      <c r="H944" s="628"/>
      <c r="I944" s="589"/>
      <c r="J944" s="589"/>
      <c r="K944" s="592"/>
      <c r="L944" s="589"/>
      <c r="M944" s="595"/>
      <c r="N944" s="598"/>
      <c r="O944" s="601"/>
      <c r="P944" s="595"/>
      <c r="Q944" s="604"/>
      <c r="R944" s="601"/>
      <c r="S944" s="283"/>
      <c r="T944" s="604"/>
      <c r="U944" s="142" t="s">
        <v>180</v>
      </c>
      <c r="V944" s="415"/>
      <c r="W944" s="301"/>
      <c r="X944" s="302" t="str">
        <f>IF(W944=[25]Listas!$B$46,[25]Listas!$C$46,IF(W944=[25]Listas!$B$47,[25]Listas!$C$47,IF(W944=[25]Listas!$B$48,[25]Listas!$C$48,"")))</f>
        <v/>
      </c>
      <c r="Y944" s="303" t="str">
        <f>IF(OR(W944=[25]Listas!$F$53,W944=[25]Listas!$F$54),[25]Listas!$G$53,IF(W944=[25]Listas!$F$55,[25]Listas!$G$55,""))</f>
        <v/>
      </c>
      <c r="Z944" s="301"/>
      <c r="AA944" s="143" t="str">
        <f>+IF(Z944=[25]Listas!$E$46,[25]Listas!$F$46,IF(Z944=[25]Listas!$E$47,[25]Listas!$F$47,""))</f>
        <v/>
      </c>
      <c r="AB944" s="144" t="str">
        <f>IFERROR(X944+AA944,"")</f>
        <v/>
      </c>
      <c r="AC944" s="301"/>
      <c r="AD944" s="301"/>
      <c r="AE944" s="304"/>
      <c r="AF944" s="305" t="str">
        <f t="shared" si="140"/>
        <v>Baja</v>
      </c>
      <c r="AG944" s="145">
        <f>IF(Y944=[25]Listas!$G$53,AG943-(AG943*AB944),AG943)</f>
        <v>0.24</v>
      </c>
      <c r="AH944" s="562"/>
      <c r="AI944" s="305" t="str">
        <f t="shared" si="144"/>
        <v>Menor</v>
      </c>
      <c r="AJ944" s="145">
        <f>IF(Y944=[25]Listas!$G$55,AJ943-(AJ943*AB944),AJ943)</f>
        <v>0.4</v>
      </c>
      <c r="AK944" s="562"/>
      <c r="AL944" s="565"/>
      <c r="AM944" s="565"/>
      <c r="AN944" s="565"/>
      <c r="AO944" s="568"/>
      <c r="AP944" s="631"/>
      <c r="AQ944" s="306"/>
      <c r="AR944" s="191"/>
      <c r="AZ944" s="146"/>
      <c r="BA944" s="147"/>
      <c r="BB944" s="148"/>
      <c r="BC944" s="643" t="s">
        <v>70</v>
      </c>
      <c r="BD944" s="643"/>
      <c r="BE944" s="643"/>
      <c r="BF944" s="643"/>
      <c r="BG944" s="643"/>
      <c r="BI944" s="149" t="s">
        <v>183</v>
      </c>
      <c r="BJ944" s="150" t="s">
        <v>184</v>
      </c>
      <c r="BK944" s="150" t="s">
        <v>185</v>
      </c>
      <c r="BL944" s="151" t="s">
        <v>186</v>
      </c>
      <c r="BN944" s="149" t="s">
        <v>183</v>
      </c>
      <c r="BO944" s="150" t="s">
        <v>187</v>
      </c>
      <c r="BP944" s="152" t="s">
        <v>188</v>
      </c>
      <c r="BQ944" s="152" t="s">
        <v>189</v>
      </c>
      <c r="BR944" s="151" t="s">
        <v>60</v>
      </c>
    </row>
    <row r="945" spans="2:70" ht="15.75" hidden="1" customHeight="1" thickBot="1" x14ac:dyDescent="0.4">
      <c r="B945" s="537"/>
      <c r="C945" s="560"/>
      <c r="D945" s="574"/>
      <c r="E945" s="577"/>
      <c r="F945" s="625"/>
      <c r="G945" s="628"/>
      <c r="H945" s="628"/>
      <c r="I945" s="589"/>
      <c r="J945" s="589"/>
      <c r="K945" s="592"/>
      <c r="L945" s="589"/>
      <c r="M945" s="595"/>
      <c r="N945" s="598"/>
      <c r="O945" s="601"/>
      <c r="P945" s="595"/>
      <c r="Q945" s="604"/>
      <c r="R945" s="601"/>
      <c r="S945" s="283"/>
      <c r="T945" s="604"/>
      <c r="U945" s="142" t="s">
        <v>190</v>
      </c>
      <c r="V945" s="415"/>
      <c r="W945" s="301"/>
      <c r="X945" s="302" t="str">
        <f>IF(W945=[25]Listas!$B$46,[25]Listas!$C$46,IF(W945=[25]Listas!$B$47,[25]Listas!$C$47,IF(W945=[25]Listas!$B$48,[25]Listas!$C$48,"")))</f>
        <v/>
      </c>
      <c r="Y945" s="303" t="str">
        <f>IF(OR(W945=[25]Listas!$F$53,W945=[25]Listas!$F$54),[25]Listas!$G$53,IF(W945=[25]Listas!$F$55,[25]Listas!$G$55,""))</f>
        <v/>
      </c>
      <c r="Z945" s="301"/>
      <c r="AA945" s="143" t="str">
        <f>+IF(Z945=[25]Listas!$E$46,[25]Listas!$F$46,IF(Z945=[25]Listas!$E$47,[25]Listas!$F$47,""))</f>
        <v/>
      </c>
      <c r="AB945" s="144" t="str">
        <f t="shared" ref="AB945:AB951" si="145">IFERROR(X945+AA945,"")</f>
        <v/>
      </c>
      <c r="AC945" s="301"/>
      <c r="AD945" s="301"/>
      <c r="AE945" s="304"/>
      <c r="AF945" s="305" t="str">
        <f t="shared" si="140"/>
        <v>Baja</v>
      </c>
      <c r="AG945" s="145">
        <f>IF(Y945=[25]Listas!$G$53,AG944-(AG944*AB945),AG944)</f>
        <v>0.24</v>
      </c>
      <c r="AH945" s="562"/>
      <c r="AI945" s="305" t="str">
        <f t="shared" si="144"/>
        <v>Menor</v>
      </c>
      <c r="AJ945" s="145">
        <f>IF(Y945=[25]Listas!$G$55,AJ944-(AJ944*AB945),AJ944)</f>
        <v>0.4</v>
      </c>
      <c r="AK945" s="562"/>
      <c r="AL945" s="565"/>
      <c r="AM945" s="565"/>
      <c r="AN945" s="565"/>
      <c r="AO945" s="568"/>
      <c r="AP945" s="631"/>
      <c r="AQ945" s="306"/>
      <c r="AR945" s="117"/>
      <c r="AZ945" s="153"/>
      <c r="BA945" s="154"/>
      <c r="BB945" s="155" t="s">
        <v>192</v>
      </c>
      <c r="BC945" s="156">
        <v>0.2</v>
      </c>
      <c r="BD945" s="156">
        <v>0.4</v>
      </c>
      <c r="BE945" s="156">
        <v>0.6</v>
      </c>
      <c r="BF945" s="156">
        <v>0.8</v>
      </c>
      <c r="BG945" s="156">
        <v>1</v>
      </c>
      <c r="BI945" s="157" t="s">
        <v>193</v>
      </c>
      <c r="BJ945" s="158">
        <v>0.2</v>
      </c>
      <c r="BK945" s="159" t="s">
        <v>194</v>
      </c>
      <c r="BL945" s="160" t="s">
        <v>195</v>
      </c>
      <c r="BN945" s="157" t="s">
        <v>196</v>
      </c>
      <c r="BO945" s="159" t="s">
        <v>197</v>
      </c>
      <c r="BP945" s="161">
        <v>0</v>
      </c>
      <c r="BQ945" s="161">
        <v>2</v>
      </c>
      <c r="BR945" s="162">
        <v>0.2</v>
      </c>
    </row>
    <row r="946" spans="2:70" ht="30.75" hidden="1" customHeight="1" thickBot="1" x14ac:dyDescent="0.4">
      <c r="B946" s="537"/>
      <c r="C946" s="560"/>
      <c r="D946" s="574"/>
      <c r="E946" s="577"/>
      <c r="F946" s="625"/>
      <c r="G946" s="628"/>
      <c r="H946" s="628"/>
      <c r="I946" s="589"/>
      <c r="J946" s="589"/>
      <c r="K946" s="592"/>
      <c r="L946" s="589"/>
      <c r="M946" s="595"/>
      <c r="N946" s="598"/>
      <c r="O946" s="601"/>
      <c r="P946" s="595"/>
      <c r="Q946" s="604"/>
      <c r="R946" s="601"/>
      <c r="S946" s="283"/>
      <c r="T946" s="604"/>
      <c r="U946" s="142" t="s">
        <v>198</v>
      </c>
      <c r="V946" s="415"/>
      <c r="W946" s="301"/>
      <c r="X946" s="302" t="str">
        <f>IF(W946=[25]Listas!$B$46,[25]Listas!$C$46,IF(W946=[25]Listas!$B$47,[25]Listas!$C$47,IF(W946=[25]Listas!$B$48,[25]Listas!$C$48,"")))</f>
        <v/>
      </c>
      <c r="Y946" s="303" t="str">
        <f>IF(OR(W946=[25]Listas!$F$53,W946=[25]Listas!$F$54),[25]Listas!$G$53,IF(W946=[25]Listas!$F$55,[25]Listas!$G$55,""))</f>
        <v/>
      </c>
      <c r="Z946" s="301"/>
      <c r="AA946" s="143" t="str">
        <f>+IF(Z946=[25]Listas!$E$46,[25]Listas!$F$46,IF(Z946=[25]Listas!$E$47,[25]Listas!$F$47,""))</f>
        <v/>
      </c>
      <c r="AB946" s="144" t="str">
        <f t="shared" si="145"/>
        <v/>
      </c>
      <c r="AC946" s="301"/>
      <c r="AD946" s="301"/>
      <c r="AE946" s="304"/>
      <c r="AF946" s="305" t="str">
        <f t="shared" si="140"/>
        <v>Baja</v>
      </c>
      <c r="AG946" s="145">
        <f>IF(Y946=[25]Listas!$G$53,AG945-(AG945*AB946),AG945)</f>
        <v>0.24</v>
      </c>
      <c r="AH946" s="562"/>
      <c r="AI946" s="305" t="str">
        <f t="shared" si="144"/>
        <v>Menor</v>
      </c>
      <c r="AJ946" s="145">
        <f>IF(Y946=[25]Listas!$G$55,AJ945-(AJ945*AB946),AJ945)</f>
        <v>0.4</v>
      </c>
      <c r="AK946" s="562"/>
      <c r="AL946" s="565"/>
      <c r="AM946" s="565"/>
      <c r="AN946" s="565"/>
      <c r="AO946" s="568"/>
      <c r="AP946" s="631"/>
      <c r="AQ946" s="306"/>
      <c r="AR946" s="117"/>
      <c r="AZ946" s="153"/>
      <c r="BA946" s="154"/>
      <c r="BB946" s="163" t="s">
        <v>200</v>
      </c>
      <c r="BC946" s="164" t="s">
        <v>193</v>
      </c>
      <c r="BD946" s="164" t="s">
        <v>201</v>
      </c>
      <c r="BE946" s="164" t="s">
        <v>83</v>
      </c>
      <c r="BF946" s="164" t="s">
        <v>202</v>
      </c>
      <c r="BG946" s="164" t="s">
        <v>203</v>
      </c>
      <c r="BI946" s="165" t="s">
        <v>201</v>
      </c>
      <c r="BJ946" s="158">
        <v>0.4</v>
      </c>
      <c r="BK946" s="166" t="s">
        <v>204</v>
      </c>
      <c r="BL946" s="167" t="s">
        <v>205</v>
      </c>
      <c r="BN946" s="165" t="s">
        <v>206</v>
      </c>
      <c r="BO946" s="166" t="s">
        <v>207</v>
      </c>
      <c r="BP946" s="161">
        <v>3</v>
      </c>
      <c r="BQ946" s="161">
        <v>24</v>
      </c>
      <c r="BR946" s="162">
        <v>0.4</v>
      </c>
    </row>
    <row r="947" spans="2:70" ht="30.75" hidden="1" customHeight="1" thickBot="1" x14ac:dyDescent="0.4">
      <c r="B947" s="537"/>
      <c r="C947" s="560"/>
      <c r="D947" s="574"/>
      <c r="E947" s="577"/>
      <c r="F947" s="625"/>
      <c r="G947" s="628"/>
      <c r="H947" s="628"/>
      <c r="I947" s="589"/>
      <c r="J947" s="589"/>
      <c r="K947" s="592"/>
      <c r="L947" s="589"/>
      <c r="M947" s="595"/>
      <c r="N947" s="598"/>
      <c r="O947" s="601"/>
      <c r="P947" s="595"/>
      <c r="Q947" s="604"/>
      <c r="R947" s="601"/>
      <c r="S947" s="283"/>
      <c r="T947" s="604"/>
      <c r="U947" s="142" t="s">
        <v>208</v>
      </c>
      <c r="V947" s="415"/>
      <c r="W947" s="301"/>
      <c r="X947" s="302" t="str">
        <f>IF(W947=[25]Listas!$B$46,[25]Listas!$C$46,IF(W947=[25]Listas!$B$47,[25]Listas!$C$47,IF(W947=[25]Listas!$B$48,[25]Listas!$C$48,"")))</f>
        <v/>
      </c>
      <c r="Y947" s="303" t="str">
        <f>IF(OR(W947=[25]Listas!$F$53,W947=[25]Listas!$F$54),[25]Listas!$G$53,IF(W947=[25]Listas!$F$55,[25]Listas!$G$55,""))</f>
        <v/>
      </c>
      <c r="Z947" s="301"/>
      <c r="AA947" s="143" t="str">
        <f>+IF(Z947=[25]Listas!$E$46,[25]Listas!$F$46,IF(Z947=[25]Listas!$E$47,[25]Listas!$F$47,""))</f>
        <v/>
      </c>
      <c r="AB947" s="144" t="str">
        <f t="shared" si="145"/>
        <v/>
      </c>
      <c r="AC947" s="301"/>
      <c r="AD947" s="301"/>
      <c r="AE947" s="304"/>
      <c r="AF947" s="305" t="str">
        <f t="shared" si="140"/>
        <v>Baja</v>
      </c>
      <c r="AG947" s="145">
        <f>IF(Y947=[25]Listas!$G$53,AG946-(AG946*AB947),AG946)</f>
        <v>0.24</v>
      </c>
      <c r="AH947" s="562"/>
      <c r="AI947" s="305" t="str">
        <f t="shared" si="144"/>
        <v>Menor</v>
      </c>
      <c r="AJ947" s="145">
        <f>IF(Y947=[25]Listas!$G$55,AJ946-(AJ946*AB947),AJ946)</f>
        <v>0.4</v>
      </c>
      <c r="AK947" s="562"/>
      <c r="AL947" s="565"/>
      <c r="AM947" s="565"/>
      <c r="AN947" s="565"/>
      <c r="AO947" s="568"/>
      <c r="AP947" s="631"/>
      <c r="AQ947" s="306"/>
      <c r="AR947" s="117"/>
      <c r="AZ947" s="644" t="s">
        <v>60</v>
      </c>
      <c r="BA947" s="168">
        <v>1</v>
      </c>
      <c r="BB947" s="164" t="s">
        <v>210</v>
      </c>
      <c r="BC947" s="169" t="s">
        <v>81</v>
      </c>
      <c r="BD947" s="169" t="s">
        <v>81</v>
      </c>
      <c r="BE947" s="169" t="s">
        <v>81</v>
      </c>
      <c r="BF947" s="169" t="s">
        <v>81</v>
      </c>
      <c r="BG947" s="170" t="s">
        <v>77</v>
      </c>
      <c r="BI947" s="171" t="s">
        <v>83</v>
      </c>
      <c r="BJ947" s="158">
        <v>0.6</v>
      </c>
      <c r="BK947" s="166" t="s">
        <v>211</v>
      </c>
      <c r="BL947" s="167" t="s">
        <v>212</v>
      </c>
      <c r="BN947" s="171" t="s">
        <v>213</v>
      </c>
      <c r="BO947" s="166" t="s">
        <v>214</v>
      </c>
      <c r="BP947" s="161">
        <v>25</v>
      </c>
      <c r="BQ947" s="161">
        <v>500</v>
      </c>
      <c r="BR947" s="162">
        <v>0.6</v>
      </c>
    </row>
    <row r="948" spans="2:70" ht="30.75" hidden="1" customHeight="1" thickBot="1" x14ac:dyDescent="0.4">
      <c r="B948" s="537"/>
      <c r="C948" s="560"/>
      <c r="D948" s="574"/>
      <c r="E948" s="577"/>
      <c r="F948" s="625"/>
      <c r="G948" s="628"/>
      <c r="H948" s="628"/>
      <c r="I948" s="589"/>
      <c r="J948" s="589"/>
      <c r="K948" s="592"/>
      <c r="L948" s="589"/>
      <c r="M948" s="595"/>
      <c r="N948" s="598"/>
      <c r="O948" s="601"/>
      <c r="P948" s="595"/>
      <c r="Q948" s="604"/>
      <c r="R948" s="601"/>
      <c r="S948" s="283"/>
      <c r="T948" s="604"/>
      <c r="U948" s="142" t="s">
        <v>215</v>
      </c>
      <c r="V948" s="418"/>
      <c r="W948" s="301"/>
      <c r="X948" s="302" t="str">
        <f>IF(W948=[25]Listas!$B$46,[25]Listas!$C$46,IF(W948=[25]Listas!$B$47,[25]Listas!$C$47,IF(W948=[25]Listas!$B$48,[25]Listas!$C$48,"")))</f>
        <v/>
      </c>
      <c r="Y948" s="303" t="str">
        <f>IF(OR(W948=[25]Listas!$F$53,W948=[25]Listas!$F$54),[25]Listas!$G$53,IF(W948=[25]Listas!$F$55,[25]Listas!$G$55,""))</f>
        <v/>
      </c>
      <c r="Z948" s="301"/>
      <c r="AA948" s="143" t="str">
        <f>+IF(Z948=[25]Listas!$E$46,[25]Listas!$F$46,IF(Z948=[25]Listas!$E$47,[25]Listas!$F$47,""))</f>
        <v/>
      </c>
      <c r="AB948" s="144" t="str">
        <f t="shared" si="145"/>
        <v/>
      </c>
      <c r="AC948" s="301"/>
      <c r="AD948" s="301"/>
      <c r="AE948" s="304"/>
      <c r="AF948" s="305" t="str">
        <f t="shared" si="140"/>
        <v>Baja</v>
      </c>
      <c r="AG948" s="145">
        <f>IF(Y948=[25]Listas!$G$53,AG947-(AG947*AB948),AG947)</f>
        <v>0.24</v>
      </c>
      <c r="AH948" s="562"/>
      <c r="AI948" s="305" t="str">
        <f t="shared" si="144"/>
        <v>Menor</v>
      </c>
      <c r="AJ948" s="145">
        <f>IF(Y948=[25]Listas!$G$55,AJ947-(AJ947*AB948),AJ947)</f>
        <v>0.4</v>
      </c>
      <c r="AK948" s="562"/>
      <c r="AL948" s="565"/>
      <c r="AM948" s="565"/>
      <c r="AN948" s="565"/>
      <c r="AO948" s="568"/>
      <c r="AP948" s="631"/>
      <c r="AQ948" s="306"/>
      <c r="AR948" s="117"/>
      <c r="AZ948" s="644"/>
      <c r="BA948" s="168">
        <v>0.8</v>
      </c>
      <c r="BB948" s="164" t="s">
        <v>217</v>
      </c>
      <c r="BC948" s="172" t="s">
        <v>83</v>
      </c>
      <c r="BD948" s="172" t="s">
        <v>83</v>
      </c>
      <c r="BE948" s="169" t="s">
        <v>81</v>
      </c>
      <c r="BF948" s="169" t="s">
        <v>81</v>
      </c>
      <c r="BG948" s="170" t="s">
        <v>77</v>
      </c>
      <c r="BI948" s="173" t="s">
        <v>202</v>
      </c>
      <c r="BJ948" s="158">
        <v>0.8</v>
      </c>
      <c r="BK948" s="166" t="s">
        <v>218</v>
      </c>
      <c r="BL948" s="167" t="s">
        <v>219</v>
      </c>
      <c r="BN948" s="173" t="s">
        <v>217</v>
      </c>
      <c r="BO948" s="166" t="s">
        <v>169</v>
      </c>
      <c r="BP948" s="161">
        <v>5001</v>
      </c>
      <c r="BQ948" s="161">
        <v>5000</v>
      </c>
      <c r="BR948" s="162">
        <v>0.8</v>
      </c>
    </row>
    <row r="949" spans="2:70" ht="15" hidden="1" customHeight="1" thickTop="1" x14ac:dyDescent="0.35">
      <c r="B949" s="537"/>
      <c r="C949" s="560"/>
      <c r="D949" s="574"/>
      <c r="E949" s="577"/>
      <c r="F949" s="625"/>
      <c r="G949" s="628"/>
      <c r="H949" s="628"/>
      <c r="I949" s="589"/>
      <c r="J949" s="589"/>
      <c r="K949" s="592"/>
      <c r="L949" s="589"/>
      <c r="M949" s="595"/>
      <c r="N949" s="598"/>
      <c r="O949" s="601"/>
      <c r="P949" s="595"/>
      <c r="Q949" s="604"/>
      <c r="R949" s="601"/>
      <c r="S949" s="283"/>
      <c r="T949" s="604"/>
      <c r="U949" s="142" t="s">
        <v>220</v>
      </c>
      <c r="V949" s="419"/>
      <c r="W949" s="301"/>
      <c r="X949" s="302" t="str">
        <f>IF(W949=[25]Listas!$B$46,[25]Listas!$C$46,IF(W949=[25]Listas!$B$47,[25]Listas!$C$47,IF(W949=[25]Listas!$B$48,[25]Listas!$C$48,"")))</f>
        <v/>
      </c>
      <c r="Y949" s="303" t="str">
        <f>IF(OR(W949=[25]Listas!$F$53,W949=[25]Listas!$F$54),[25]Listas!$G$53,IF(W949=[25]Listas!$F$55,[25]Listas!$G$55,""))</f>
        <v/>
      </c>
      <c r="Z949" s="301"/>
      <c r="AA949" s="143" t="str">
        <f>+IF(Z949=[25]Listas!$E$46,[25]Listas!$F$46,IF(Z949=[25]Listas!$E$47,[25]Listas!$F$47,""))</f>
        <v/>
      </c>
      <c r="AB949" s="144" t="str">
        <f t="shared" si="145"/>
        <v/>
      </c>
      <c r="AC949" s="301"/>
      <c r="AD949" s="301"/>
      <c r="AE949" s="304"/>
      <c r="AF949" s="305" t="str">
        <f t="shared" si="140"/>
        <v>Baja</v>
      </c>
      <c r="AG949" s="145">
        <f>IF(Y949=[25]Listas!$G$53,AG948-(AG948*AB949),AG948)</f>
        <v>0.24</v>
      </c>
      <c r="AH949" s="562"/>
      <c r="AI949" s="305" t="str">
        <f t="shared" si="144"/>
        <v>Menor</v>
      </c>
      <c r="AJ949" s="145">
        <f>IF(Y949=[25]Listas!$G$55,AJ948-(AJ948*AB949),AJ948)</f>
        <v>0.4</v>
      </c>
      <c r="AK949" s="562"/>
      <c r="AL949" s="565"/>
      <c r="AM949" s="565"/>
      <c r="AN949" s="565"/>
      <c r="AO949" s="568"/>
      <c r="AP949" s="631"/>
      <c r="AQ949" s="306"/>
      <c r="AR949" s="117"/>
      <c r="AZ949" s="644"/>
      <c r="BA949" s="168">
        <v>0.6</v>
      </c>
      <c r="BB949" s="164" t="s">
        <v>213</v>
      </c>
      <c r="BC949" s="172" t="s">
        <v>83</v>
      </c>
      <c r="BD949" s="172" t="s">
        <v>83</v>
      </c>
      <c r="BE949" s="172" t="s">
        <v>83</v>
      </c>
      <c r="BF949" s="169" t="s">
        <v>81</v>
      </c>
      <c r="BG949" s="170" t="s">
        <v>77</v>
      </c>
      <c r="BI949" s="175" t="s">
        <v>203</v>
      </c>
      <c r="BJ949" s="158">
        <v>1</v>
      </c>
      <c r="BK949" s="166" t="s">
        <v>221</v>
      </c>
      <c r="BL949" s="167" t="s">
        <v>170</v>
      </c>
      <c r="BN949" s="175" t="s">
        <v>210</v>
      </c>
      <c r="BO949" s="166" t="s">
        <v>222</v>
      </c>
      <c r="BP949" s="161">
        <v>5001</v>
      </c>
      <c r="BQ949" s="161"/>
      <c r="BR949" s="162">
        <v>1</v>
      </c>
    </row>
    <row r="950" spans="2:70" ht="15" hidden="1" customHeight="1" thickTop="1" x14ac:dyDescent="0.35">
      <c r="B950" s="537"/>
      <c r="C950" s="560"/>
      <c r="D950" s="574"/>
      <c r="E950" s="577"/>
      <c r="F950" s="625"/>
      <c r="G950" s="628"/>
      <c r="H950" s="628"/>
      <c r="I950" s="589"/>
      <c r="J950" s="589"/>
      <c r="K950" s="592"/>
      <c r="L950" s="589"/>
      <c r="M950" s="595"/>
      <c r="N950" s="598"/>
      <c r="O950" s="601"/>
      <c r="P950" s="595"/>
      <c r="Q950" s="604"/>
      <c r="R950" s="601"/>
      <c r="S950" s="283"/>
      <c r="T950" s="604"/>
      <c r="U950" s="142" t="s">
        <v>223</v>
      </c>
      <c r="V950" s="419"/>
      <c r="W950" s="301"/>
      <c r="X950" s="302" t="str">
        <f>IF(W950=[25]Listas!$B$46,[25]Listas!$C$46,IF(W950=[25]Listas!$B$47,[25]Listas!$C$47,IF(W950=[25]Listas!$B$48,[25]Listas!$C$48,"")))</f>
        <v/>
      </c>
      <c r="Y950" s="303" t="str">
        <f>IF(OR(W950=[25]Listas!$F$53,W950=[25]Listas!$F$54),[25]Listas!$G$53,IF(W950=[25]Listas!$F$55,[25]Listas!$G$55,""))</f>
        <v/>
      </c>
      <c r="Z950" s="301"/>
      <c r="AA950" s="143" t="str">
        <f>+IF(Z950=[25]Listas!$E$46,[25]Listas!$F$46,IF(Z950=[25]Listas!$E$47,[25]Listas!$F$47,""))</f>
        <v/>
      </c>
      <c r="AB950" s="144" t="str">
        <f t="shared" si="145"/>
        <v/>
      </c>
      <c r="AC950" s="301"/>
      <c r="AD950" s="301"/>
      <c r="AE950" s="304"/>
      <c r="AF950" s="305" t="str">
        <f t="shared" si="140"/>
        <v>Baja</v>
      </c>
      <c r="AG950" s="145">
        <f>IF(Y950=[25]Listas!$G$53,AG949-(AG949*AB950),AG949)</f>
        <v>0.24</v>
      </c>
      <c r="AH950" s="562"/>
      <c r="AI950" s="305" t="str">
        <f t="shared" si="144"/>
        <v>Menor</v>
      </c>
      <c r="AJ950" s="145">
        <f>IF(Y950=[25]Listas!$G$55,AJ949-(AJ949*AB950),AJ949)</f>
        <v>0.4</v>
      </c>
      <c r="AK950" s="562"/>
      <c r="AL950" s="565"/>
      <c r="AM950" s="565"/>
      <c r="AN950" s="565"/>
      <c r="AO950" s="568"/>
      <c r="AP950" s="631"/>
      <c r="AQ950" s="306"/>
      <c r="AR950" s="117"/>
      <c r="AZ950" s="644"/>
      <c r="BA950" s="168">
        <v>0.4</v>
      </c>
      <c r="BB950" s="164" t="s">
        <v>206</v>
      </c>
      <c r="BC950" s="176" t="s">
        <v>86</v>
      </c>
      <c r="BD950" s="172" t="s">
        <v>83</v>
      </c>
      <c r="BE950" s="172" t="s">
        <v>83</v>
      </c>
      <c r="BF950" s="169" t="s">
        <v>81</v>
      </c>
      <c r="BG950" s="170" t="s">
        <v>77</v>
      </c>
    </row>
    <row r="951" spans="2:70" ht="15.75" hidden="1" customHeight="1" thickTop="1" x14ac:dyDescent="0.35">
      <c r="B951" s="537"/>
      <c r="C951" s="560"/>
      <c r="D951" s="575"/>
      <c r="E951" s="578"/>
      <c r="F951" s="626"/>
      <c r="G951" s="629"/>
      <c r="H951" s="629"/>
      <c r="I951" s="590"/>
      <c r="J951" s="590"/>
      <c r="K951" s="593"/>
      <c r="L951" s="590"/>
      <c r="M951" s="596"/>
      <c r="N951" s="599"/>
      <c r="O951" s="602"/>
      <c r="P951" s="596"/>
      <c r="Q951" s="605"/>
      <c r="R951" s="602"/>
      <c r="S951" s="284"/>
      <c r="T951" s="605"/>
      <c r="U951" s="202" t="s">
        <v>224</v>
      </c>
      <c r="V951" s="420"/>
      <c r="W951" s="307"/>
      <c r="X951" s="308" t="str">
        <f>IF(W951=[25]Listas!$B$46,[25]Listas!$C$46,IF(W951=[25]Listas!$B$47,[25]Listas!$C$47,IF(W951=[25]Listas!$B$48,[25]Listas!$C$48,"")))</f>
        <v/>
      </c>
      <c r="Y951" s="309" t="str">
        <f>IF(OR(W951=[25]Listas!$F$53,W951=[25]Listas!$F$54),[25]Listas!$G$53,IF(W951=[25]Listas!$F$55,[25]Listas!$G$55,""))</f>
        <v/>
      </c>
      <c r="Z951" s="307"/>
      <c r="AA951" s="177" t="str">
        <f>+IF(Z951=[25]Listas!$E$46,[25]Listas!$F$46,IF(Z951=[25]Listas!$E$47,[25]Listas!$F$47,""))</f>
        <v/>
      </c>
      <c r="AB951" s="178" t="str">
        <f t="shared" si="145"/>
        <v/>
      </c>
      <c r="AC951" s="307"/>
      <c r="AD951" s="307"/>
      <c r="AE951" s="310"/>
      <c r="AF951" s="311" t="str">
        <f t="shared" si="140"/>
        <v>Baja</v>
      </c>
      <c r="AG951" s="179">
        <f>IF(Y951=[25]Listas!$G$53,AG950-(AG950*AB951),AG950)</f>
        <v>0.24</v>
      </c>
      <c r="AH951" s="563"/>
      <c r="AI951" s="311" t="str">
        <f t="shared" si="144"/>
        <v>Menor</v>
      </c>
      <c r="AJ951" s="179">
        <f>IF(Y951=[25]Listas!$G$55,AJ950-(AJ950*AB951),AJ950)</f>
        <v>0.4</v>
      </c>
      <c r="AK951" s="563"/>
      <c r="AL951" s="566"/>
      <c r="AM951" s="566"/>
      <c r="AN951" s="566"/>
      <c r="AO951" s="569"/>
      <c r="AP951" s="632"/>
      <c r="AQ951" s="312"/>
      <c r="AR951" s="180"/>
      <c r="AZ951" s="644"/>
      <c r="BA951" s="168">
        <v>0.2</v>
      </c>
      <c r="BB951" s="164" t="s">
        <v>196</v>
      </c>
      <c r="BC951" s="176" t="s">
        <v>86</v>
      </c>
      <c r="BD951" s="176" t="s">
        <v>86</v>
      </c>
      <c r="BE951" s="172" t="s">
        <v>83</v>
      </c>
      <c r="BF951" s="169" t="s">
        <v>81</v>
      </c>
      <c r="BG951" s="170" t="s">
        <v>77</v>
      </c>
    </row>
    <row r="952" spans="2:70" ht="284.5" customHeight="1" thickTop="1" thickBot="1" x14ac:dyDescent="0.4">
      <c r="B952" s="537"/>
      <c r="C952" s="560"/>
      <c r="D952" s="573" t="s">
        <v>1033</v>
      </c>
      <c r="E952" s="576" t="s">
        <v>4</v>
      </c>
      <c r="F952" s="624" t="s">
        <v>1034</v>
      </c>
      <c r="G952" s="627" t="s">
        <v>1035</v>
      </c>
      <c r="H952" s="627" t="s">
        <v>1036</v>
      </c>
      <c r="I952" s="588" t="s">
        <v>28</v>
      </c>
      <c r="J952" s="588" t="s">
        <v>22</v>
      </c>
      <c r="K952" s="591"/>
      <c r="L952" s="588" t="s">
        <v>186</v>
      </c>
      <c r="M952" s="594" t="s">
        <v>169</v>
      </c>
      <c r="N952" s="597" t="str">
        <f>+IF(M952="","",IF(M952=$BO$15,$BN$15,IF(M952=$BO$16,$BN$16,IF(M952=$BO$17,$BN$17,IF(M952=$BO$18,$BN$18,IF(M952=$BO$19,$BN$19))))))</f>
        <v>Alta</v>
      </c>
      <c r="O952" s="600">
        <f>+IF(M952="","",IF(M952=$BO$15,$BR$15,IF(M952=$BO$16,$BR$16,IF(M952=$BO$17,$BR$17,IF(M952=$BO$18,$BR$18,IF(M952=$BO$19,$BR$19))))))</f>
        <v>0.8</v>
      </c>
      <c r="P952" s="594" t="s">
        <v>170</v>
      </c>
      <c r="Q952" s="603" t="str">
        <f>+IF(P952="","",IF(P952='[25]Mapa de Calor inherente'!$AF$6,'[25]Mapa de Calor inherente'!$AD$6,IF(P952='[25]Mapa de Calor inherente'!$AF$7,'[25]Mapa de Calor inherente'!$AD$7,IF(P952='[25]Mapa de Calor inherente'!$AF$8,'[25]Mapa de Calor inherente'!$AD$8,IF(P952='[25]Mapa de Calor inherente'!$AF$9,'[25]Mapa de Calor inherente'!$AD$9,IF(P952='[25]Mapa de Calor inherente'!$AF$10,'[25]Mapa de Calor inherente'!$AD$10,IF(P952='[25]Mapa de Calor inherente'!$AG$6,'[25]Mapa de Calor inherente'!$AD$6,IF(P952='[25]Mapa de Calor inherente'!$AG$7,'[25]Mapa de Calor inherente'!$AD$7,IF(P952='[25]Mapa de Calor inherente'!$AG$8,'[25]Mapa de Calor inherente'!$AD$8,IF(P952='[25]Mapa de Calor inherente'!$AG$9,'[25]Mapa de Calor inherente'!$AD$9,IF(P952='[25]Mapa de Calor inherente'!$AG$10,'[25]Mapa de Calor inherente'!$AD$10,IF(P952='[25]Mapa de Calor inherente'!$AD$8,'[25]Mapa de Calor inherente'!$AD$8,IF(P952='[25]Mapa de Calor inherente'!$AD$9,'[25]Mapa de Calor inherente'!$AD$9,IF(P952='[25]Mapa de Calor inherente'!$AD$10,'[25]Mapa de Calor inherente'!$AD$10))))))))))))))</f>
        <v>Catastrófico</v>
      </c>
      <c r="R952" s="600">
        <f>+IF(P952="","",IF(P952='[25]Mapa de Calor inherente'!$AF$6,'[25]Mapa de Calor inherente'!$AE$6,IF(P952='[25]Mapa de Calor inherente'!$AF$7,'[25]Mapa de Calor inherente'!$AE$7,IF(P952='[25]Mapa de Calor inherente'!$AF$8,'[25]Mapa de Calor inherente'!$AE$8,IF(P952='[25]Mapa de Calor inherente'!$AF$9,'[25]Mapa de Calor inherente'!$AE$9,IF(P952='[25]Mapa de Calor inherente'!$AF$10,'[25]Mapa de Calor inherente'!$AE$10,IF(P952='[25]Mapa de Calor inherente'!$AG$6,'[25]Mapa de Calor inherente'!$AE$6,IF(P952='[25]Mapa de Calor inherente'!$AG$7,'[25]Mapa de Calor inherente'!$AE$7,IF(P952='[25]Mapa de Calor inherente'!$AG$8,'[25]Mapa de Calor inherente'!$AE$8,IF(P952='[25]Mapa de Calor inherente'!$AG$9,'[25]Mapa de Calor inherente'!$AE$9,IF(P952='[25]Mapa de Calor inherente'!$AG$10,'[25]Mapa de Calor inherente'!$AE$10,IF(P952='[25]Mapa de Calor inherente'!$AD$8,'[25]Mapa de Calor inherente'!$AE$8,IF(P952='[25]Mapa de Calor inherente'!$AD$9,'[25]Mapa de Calor inherente'!$AE$9,IF(P952='[25]Mapa de Calor inherente'!$AD$10,'[25]Mapa de Calor inherente'!$AE$10))))))))))))))</f>
        <v>1</v>
      </c>
      <c r="S952" s="292"/>
      <c r="T952" s="606" t="str">
        <f>+IF(N952=$BB$17,IF(Q952=$BC$16,$BC$17,IF(Q952=$BD$16,$BD$17,IF(Q952=$BE$16,$BE$17,IF(Q952=$BF$16,$BF$17,IF(Q952=$BG$16,$BG$17))))),IF(N952=$BB$18,IF(Q952=$BC$16,$BC$18,IF(Q952=$BD$16,$BD$18,IF(Q952=$BE$16,$BE$18,IF(Q952=$BF$16,$BF$18,IF(Q952=$BG$16,$BG$18))))),IF(N952=$BB$19,IF(Q952=$BC$16,$BC$19,IF(Q952=$BD$16,$BD$19,IF(Q952=$BE$16,$BE$19,IF(Q952=$BF$16,$BF$19,IF(Q952=$BG$16,$BG$19))))),IF(N952=$BB$20,IF(Q952=$BC$16,$BC$20,IF(Q952=$BD$16,$BD$20,IF(Q952=$BE$16,$BE$20,IF(Q952=$BF$16,$BF$20,IF(Q952=$BG$16,$BG$20))))),IF(N952=$BB$21,IF(Q952=$BC$16,$BC$21,IF(Q952=$BD$16,$BD$21,IF(Q952=$BE$16,$BE$21,IF(Q952=$BF$16,$BF$21,IF(Q952=$BG$16,$BG$21))))),"")))))</f>
        <v>Extremo</v>
      </c>
      <c r="U952" s="139" t="s">
        <v>171</v>
      </c>
      <c r="V952" s="519" t="s">
        <v>1037</v>
      </c>
      <c r="W952" s="313" t="s">
        <v>42</v>
      </c>
      <c r="X952" s="314">
        <f>IF(W952=[25]Listas!$B$46,[25]Listas!$C$46,IF(W952=[25]Listas!$B$47,[25]Listas!$C$47,IF(W952=[25]Listas!$B$48,[25]Listas!$C$48,"")))</f>
        <v>0.15</v>
      </c>
      <c r="Y952" s="315" t="str">
        <f>IF(OR(W952=[25]Listas!$F$53,W952=[25]Listas!$F$54),[25]Listas!$G$53,IF(W952=[25]Listas!$F$55,[25]Listas!$G$55,""))</f>
        <v>Probabilidad</v>
      </c>
      <c r="Z952" s="313" t="s">
        <v>41</v>
      </c>
      <c r="AA952" s="314">
        <f>+IF(Z952=[25]Listas!$E$46,[25]Listas!$F$46,IF(Z952=[25]Listas!$E$47,[25]Listas!$F$47,""))</f>
        <v>0.25</v>
      </c>
      <c r="AB952" s="181">
        <f>IFERROR(X952+AA952,"")</f>
        <v>0.4</v>
      </c>
      <c r="AC952" s="313" t="s">
        <v>57</v>
      </c>
      <c r="AD952" s="316" t="s">
        <v>58</v>
      </c>
      <c r="AE952" s="317" t="s">
        <v>59</v>
      </c>
      <c r="AF952" s="299" t="str">
        <f t="shared" si="140"/>
        <v>Media</v>
      </c>
      <c r="AG952" s="141">
        <f>IF(Y952=[25]Listas!$G$53,O952-(O952*AB952),O952)</f>
        <v>0.48</v>
      </c>
      <c r="AH952" s="561">
        <f>+IF(AG961="","",AG961)</f>
        <v>0.12</v>
      </c>
      <c r="AI952" s="299" t="str">
        <f>IF(AJ952="","",IF(AJ952&lt;=20%,"Leve",IF(AJ952&lt;=40%,"Menor",IF(AJ952&lt;=60%,"Moderado",IF(AJ952&lt;=80%,"Mayor","Catastrófico")))))</f>
        <v>Catastrófico</v>
      </c>
      <c r="AJ952" s="141">
        <f>IF(Y952=[25]Listas!$G$55,R952-(R952*AB952),R952)</f>
        <v>1</v>
      </c>
      <c r="AK952" s="561">
        <f>+IF(AJ961="","",AJ961)</f>
        <v>1</v>
      </c>
      <c r="AL952" s="564" t="str">
        <f>+IF(AH952=0,"",IF(AH952&lt;=$BA$21,$BB$21,IF(AH952&lt;=$BA$20,$BB$20,IF(AH952&lt;=$BA$19,$BB$19,IF(AH952&lt;=$BA$18,$BB$18,IF(AH952&lt;=$BA$17,$BB$17,""))))))</f>
        <v>Muy Baja</v>
      </c>
      <c r="AM952" s="564" t="str">
        <f>+IF(AK952=0,"",IF(AK952&lt;=$BC$15,$BC$16,IF(AK952&lt;=$BD$15,$BD$16,IF(AK952&lt;=$BE$15,$BE$16,IF(AK952&lt;=$BF$15,$BF$16,IF(AK952&lt;=$BG$15,$BG$16,""))))))</f>
        <v>Catastrófico</v>
      </c>
      <c r="AN952" s="564" t="str">
        <f>IF(AL952=$BB$17,IF(AM952=$BC$16,$BC$17,IF(AM952=$BD$16,$BD$17,IF(AM952=$BE$16,$BE$17,IF(AM952=$BF$16,$BF$17,IF(AM952=$BG$16,$BG$17))))),IF(AL952=$BB$18,IF(AM952=$BC$16,$BC$18,IF(AM952=$BD$16,$BD$18,IF(AM952=$BE$16,$BE$18,IF(AM952=$BF$16,$BF$18,IF(AM952=$BG$16,$BG$18))))),IF(AL952=$BB$19,IF(AM952=$BC$16,$BC$19,IF(AM952=$BD$16,$BD$19,IF(AM952=$BE$16,$BE$19,IF(AM952=$BF$16,$BF$19,IF(AM952=$BG$16,$BG$19))))),IF(AL952=$BB$20,IF(AM952=$BC$16,$BC$20,IF(AM952=$BD$16,$BD$20,IF(AM952=$BE$16,$BE$20,IF(AM952=$BF$16,$BF$20,IF(AM952=$BG$16,$BG$20))))),IF(AL952=$BB$21,IF(AM952=$BC$16,$BC$21,IF(AM952=$BD$16,$BD$21,IF(AM952=$BE$16,$BE$21,IF(AM952=$BF$16,$BF$21,IF(AM952=$BG$16,$BG$21))))),"")))))</f>
        <v>Extremo</v>
      </c>
      <c r="AO952" s="567" t="str">
        <f>IF(AP952="","",IF(AP952=[25]Listas!$F$61,[25]Listas!$G$61,IF(AP952=[25]Listas!$F$63,[25]Listas!$G$63,IF(AP952=[25]Listas!$F$64,[25]Listas!$G$64))))</f>
        <v>Requiere Plan de Acción</v>
      </c>
      <c r="AP952" s="570" t="str">
        <f>IF(AN952="","",IF(OR(AN952=[25]Listas!$E$61,AN952=[25]Listas!$E$62),[25]Listas!$F$61,IF(AN952=[25]Listas!$E$63,[25]Listas!$F$63,IF(AN952=[25]Listas!$E$64,[25]Listas!$F$64))))</f>
        <v>Reducir, evitar, compartir o transferir el riesgo</v>
      </c>
      <c r="AQ952" s="318" t="s">
        <v>80</v>
      </c>
      <c r="AR952" s="258" t="s">
        <v>1038</v>
      </c>
    </row>
    <row r="953" spans="2:70" ht="250.5" customHeight="1" thickTop="1" thickBot="1" x14ac:dyDescent="0.4">
      <c r="B953" s="537"/>
      <c r="C953" s="560"/>
      <c r="D953" s="574"/>
      <c r="E953" s="577"/>
      <c r="F953" s="625"/>
      <c r="G953" s="628"/>
      <c r="H953" s="628"/>
      <c r="I953" s="589"/>
      <c r="J953" s="589"/>
      <c r="K953" s="592"/>
      <c r="L953" s="589"/>
      <c r="M953" s="595"/>
      <c r="N953" s="598"/>
      <c r="O953" s="601"/>
      <c r="P953" s="595"/>
      <c r="Q953" s="604"/>
      <c r="R953" s="601"/>
      <c r="S953" s="286"/>
      <c r="T953" s="607"/>
      <c r="U953" s="142" t="s">
        <v>174</v>
      </c>
      <c r="V953" s="520" t="s">
        <v>1039</v>
      </c>
      <c r="W953" s="319" t="s">
        <v>40</v>
      </c>
      <c r="X953" s="320">
        <f>IF(W953=[25]Listas!$B$46,[25]Listas!$C$46,IF(W953=[25]Listas!$B$47,[25]Listas!$C$47,IF(W953=[25]Listas!$B$48,[25]Listas!$C$48,"")))</f>
        <v>0.25</v>
      </c>
      <c r="Y953" s="321" t="str">
        <f>IF(OR(W953=[25]Listas!$F$53,W953=[25]Listas!$F$54),[25]Listas!$G$53,IF(W953=[25]Listas!$F$55,[25]Listas!$G$55,""))</f>
        <v>Probabilidad</v>
      </c>
      <c r="Z953" s="319" t="s">
        <v>41</v>
      </c>
      <c r="AA953" s="182">
        <f>+IF(Z953=[25]Listas!$E$46,[25]Listas!$F$46,IF(Z953=[25]Listas!$E$47,[25]Listas!$F$47,""))</f>
        <v>0.25</v>
      </c>
      <c r="AB953" s="183">
        <f>IFERROR(X953+AA953,"")</f>
        <v>0.5</v>
      </c>
      <c r="AC953" s="319" t="s">
        <v>57</v>
      </c>
      <c r="AD953" s="322" t="s">
        <v>58</v>
      </c>
      <c r="AE953" s="323" t="s">
        <v>59</v>
      </c>
      <c r="AF953" s="305" t="str">
        <f t="shared" si="140"/>
        <v>Baja</v>
      </c>
      <c r="AG953" s="145">
        <f>IF(Y953=[25]Listas!$G$53,AG952-(AG952*AB953),AG952)</f>
        <v>0.24</v>
      </c>
      <c r="AH953" s="562"/>
      <c r="AI953" s="305" t="str">
        <f t="shared" si="144"/>
        <v>Catastrófico</v>
      </c>
      <c r="AJ953" s="145">
        <f>IF(Y953=[25]Listas!$G$55,AJ952-(AJ952*AB953),AJ952)</f>
        <v>1</v>
      </c>
      <c r="AK953" s="562"/>
      <c r="AL953" s="565"/>
      <c r="AM953" s="565"/>
      <c r="AN953" s="565"/>
      <c r="AO953" s="568"/>
      <c r="AP953" s="571"/>
      <c r="AQ953" s="324" t="s">
        <v>90</v>
      </c>
      <c r="AR953" s="201" t="s">
        <v>1040</v>
      </c>
    </row>
    <row r="954" spans="2:70" ht="134.5" customHeight="1" thickTop="1" thickBot="1" x14ac:dyDescent="0.4">
      <c r="B954" s="537"/>
      <c r="C954" s="560"/>
      <c r="D954" s="574"/>
      <c r="E954" s="577"/>
      <c r="F954" s="625"/>
      <c r="G954" s="628"/>
      <c r="H954" s="628"/>
      <c r="I954" s="589"/>
      <c r="J954" s="589"/>
      <c r="K954" s="592"/>
      <c r="L954" s="589"/>
      <c r="M954" s="595"/>
      <c r="N954" s="598"/>
      <c r="O954" s="601"/>
      <c r="P954" s="595"/>
      <c r="Q954" s="604"/>
      <c r="R954" s="601"/>
      <c r="S954" s="287"/>
      <c r="T954" s="607"/>
      <c r="U954" s="142" t="s">
        <v>180</v>
      </c>
      <c r="V954" s="520" t="s">
        <v>1041</v>
      </c>
      <c r="W954" s="319" t="s">
        <v>40</v>
      </c>
      <c r="X954" s="320">
        <f>IF(W954=[25]Listas!$B$46,[25]Listas!$C$46,IF(W954=[25]Listas!$B$47,[25]Listas!$C$47,IF(W954=[25]Listas!$B$48,[25]Listas!$C$48,"")))</f>
        <v>0.25</v>
      </c>
      <c r="Y954" s="321" t="str">
        <f>IF(OR(W954=[25]Listas!$F$53,W954=[25]Listas!$F$54),[25]Listas!$G$53,IF(W954=[25]Listas!$F$55,[25]Listas!$G$55,""))</f>
        <v>Probabilidad</v>
      </c>
      <c r="Z954" s="319" t="s">
        <v>41</v>
      </c>
      <c r="AA954" s="182">
        <f>+IF(Z954=[25]Listas!$E$46,[25]Listas!$F$46,IF(Z954=[25]Listas!$E$47,[25]Listas!$F$47,""))</f>
        <v>0.25</v>
      </c>
      <c r="AB954" s="183">
        <f>IFERROR(X954+AA954,"")</f>
        <v>0.5</v>
      </c>
      <c r="AC954" s="319" t="s">
        <v>57</v>
      </c>
      <c r="AD954" s="322" t="s">
        <v>58</v>
      </c>
      <c r="AE954" s="323" t="s">
        <v>59</v>
      </c>
      <c r="AF954" s="305" t="str">
        <f t="shared" si="140"/>
        <v>Muy baja</v>
      </c>
      <c r="AG954" s="145">
        <f>IF(Y954=[25]Listas!$G$53,AG953-(AG953*AB954),AG953)</f>
        <v>0.12</v>
      </c>
      <c r="AH954" s="562"/>
      <c r="AI954" s="305" t="str">
        <f t="shared" si="144"/>
        <v>Catastrófico</v>
      </c>
      <c r="AJ954" s="145">
        <f>IF(Y954=[25]Listas!$G$55,AJ953-(AJ953*AB954),AJ953)</f>
        <v>1</v>
      </c>
      <c r="AK954" s="562"/>
      <c r="AL954" s="565"/>
      <c r="AM954" s="565"/>
      <c r="AN954" s="565"/>
      <c r="AO954" s="568"/>
      <c r="AP954" s="571"/>
      <c r="AQ954" s="324"/>
      <c r="AR954" s="184"/>
    </row>
    <row r="955" spans="2:70" ht="15" hidden="1" customHeight="1" thickBot="1" x14ac:dyDescent="0.4">
      <c r="B955" s="537"/>
      <c r="C955" s="560"/>
      <c r="D955" s="574"/>
      <c r="E955" s="577"/>
      <c r="F955" s="625"/>
      <c r="G955" s="628"/>
      <c r="H955" s="628"/>
      <c r="I955" s="589"/>
      <c r="J955" s="589"/>
      <c r="K955" s="592"/>
      <c r="L955" s="589"/>
      <c r="M955" s="595"/>
      <c r="N955" s="598"/>
      <c r="O955" s="601"/>
      <c r="P955" s="595"/>
      <c r="Q955" s="604"/>
      <c r="R955" s="601"/>
      <c r="S955" s="287"/>
      <c r="T955" s="607"/>
      <c r="U955" s="142" t="s">
        <v>190</v>
      </c>
      <c r="V955" s="415"/>
      <c r="W955" s="319"/>
      <c r="X955" s="320" t="str">
        <f>IF(W955=[25]Listas!$B$46,[25]Listas!$C$46,IF(W955=[25]Listas!$B$47,[25]Listas!$C$47,IF(W955=[25]Listas!$B$48,[25]Listas!$C$48,"")))</f>
        <v/>
      </c>
      <c r="Y955" s="321" t="str">
        <f>IF(OR(W955=[25]Listas!$F$53,W955=[25]Listas!$F$54),[25]Listas!$G$53,IF(W955=[25]Listas!$F$55,[25]Listas!$G$55,""))</f>
        <v/>
      </c>
      <c r="Z955" s="319"/>
      <c r="AA955" s="182" t="str">
        <f>+IF(Z955=[25]Listas!$E$46,[25]Listas!$F$46,IF(Z955=[25]Listas!$E$47,[25]Listas!$F$47,""))</f>
        <v/>
      </c>
      <c r="AB955" s="183" t="str">
        <f t="shared" ref="AB955:AB961" si="146">IFERROR(X955+AA955,"")</f>
        <v/>
      </c>
      <c r="AC955" s="328"/>
      <c r="AD955" s="329"/>
      <c r="AE955" s="330"/>
      <c r="AF955" s="305" t="str">
        <f t="shared" si="140"/>
        <v>Muy baja</v>
      </c>
      <c r="AG955" s="145">
        <f>IF(Y955=[25]Listas!$G$53,AG954-(AG954*AB955),AG954)</f>
        <v>0.12</v>
      </c>
      <c r="AH955" s="562"/>
      <c r="AI955" s="305" t="str">
        <f t="shared" si="144"/>
        <v>Catastrófico</v>
      </c>
      <c r="AJ955" s="145">
        <f>IF(Y955=[25]Listas!$G$55,AJ954-(AJ954*AB955),AJ954)</f>
        <v>1</v>
      </c>
      <c r="AK955" s="562"/>
      <c r="AL955" s="565"/>
      <c r="AM955" s="565"/>
      <c r="AN955" s="565"/>
      <c r="AO955" s="568"/>
      <c r="AP955" s="571"/>
      <c r="AQ955" s="324"/>
      <c r="AR955" s="185"/>
    </row>
    <row r="956" spans="2:70" ht="15" hidden="1" customHeight="1" x14ac:dyDescent="0.35">
      <c r="B956" s="537"/>
      <c r="C956" s="560"/>
      <c r="D956" s="574"/>
      <c r="E956" s="577"/>
      <c r="F956" s="625"/>
      <c r="G956" s="628"/>
      <c r="H956" s="628"/>
      <c r="I956" s="589"/>
      <c r="J956" s="589"/>
      <c r="K956" s="592"/>
      <c r="L956" s="589"/>
      <c r="M956" s="595"/>
      <c r="N956" s="598"/>
      <c r="O956" s="601"/>
      <c r="P956" s="595"/>
      <c r="Q956" s="604"/>
      <c r="R956" s="601"/>
      <c r="S956" s="287"/>
      <c r="T956" s="607"/>
      <c r="U956" s="142" t="s">
        <v>198</v>
      </c>
      <c r="V956" s="415"/>
      <c r="W956" s="331"/>
      <c r="X956" s="320" t="str">
        <f>IF(W956=[25]Listas!$B$46,[25]Listas!$C$46,IF(W956=[25]Listas!$B$47,[25]Listas!$C$47,IF(W956=[25]Listas!$B$48,[25]Listas!$C$48,"")))</f>
        <v/>
      </c>
      <c r="Y956" s="321" t="str">
        <f>IF(OR(W956=[25]Listas!$F$53,W956=[25]Listas!$F$54),[25]Listas!$G$53,IF(W956=[25]Listas!$F$55,[25]Listas!$G$55,""))</f>
        <v/>
      </c>
      <c r="Z956" s="331"/>
      <c r="AA956" s="182" t="str">
        <f>+IF(Z956=[25]Listas!$E$46,[25]Listas!$F$46,IF(Z956=[25]Listas!$E$47,[25]Listas!$F$47,""))</f>
        <v/>
      </c>
      <c r="AB956" s="183" t="str">
        <f t="shared" si="146"/>
        <v/>
      </c>
      <c r="AC956" s="319"/>
      <c r="AD956" s="322"/>
      <c r="AE956" s="323"/>
      <c r="AF956" s="305" t="str">
        <f t="shared" si="140"/>
        <v>Muy baja</v>
      </c>
      <c r="AG956" s="145">
        <f>IF(Y956=[25]Listas!$G$53,AG955-(AG955*AB956),AG955)</f>
        <v>0.12</v>
      </c>
      <c r="AH956" s="562"/>
      <c r="AI956" s="305" t="str">
        <f t="shared" si="144"/>
        <v>Catastrófico</v>
      </c>
      <c r="AJ956" s="145">
        <f>IF(Y956=[25]Listas!$G$55,AJ955-(AJ955*AB956),AJ955)</f>
        <v>1</v>
      </c>
      <c r="AK956" s="562"/>
      <c r="AL956" s="565"/>
      <c r="AM956" s="565"/>
      <c r="AN956" s="565"/>
      <c r="AO956" s="568"/>
      <c r="AP956" s="571"/>
      <c r="AQ956" s="324"/>
      <c r="AR956" s="185"/>
    </row>
    <row r="957" spans="2:70" ht="15.75" hidden="1" customHeight="1" thickTop="1" x14ac:dyDescent="0.35">
      <c r="B957" s="537"/>
      <c r="C957" s="560"/>
      <c r="D957" s="574"/>
      <c r="E957" s="577"/>
      <c r="F957" s="625"/>
      <c r="G957" s="628"/>
      <c r="H957" s="628"/>
      <c r="I957" s="589"/>
      <c r="J957" s="589"/>
      <c r="K957" s="592"/>
      <c r="L957" s="589"/>
      <c r="M957" s="595"/>
      <c r="N957" s="598"/>
      <c r="O957" s="601"/>
      <c r="P957" s="595"/>
      <c r="Q957" s="604"/>
      <c r="R957" s="601"/>
      <c r="S957" s="288"/>
      <c r="T957" s="607"/>
      <c r="U957" s="142" t="s">
        <v>208</v>
      </c>
      <c r="V957" s="415"/>
      <c r="W957" s="331"/>
      <c r="X957" s="320" t="str">
        <f>IF(W957=[25]Listas!$B$46,[25]Listas!$C$46,IF(W957=[25]Listas!$B$47,[25]Listas!$C$47,IF(W957=[25]Listas!$B$48,[25]Listas!$C$48,"")))</f>
        <v/>
      </c>
      <c r="Y957" s="321" t="str">
        <f>IF(OR(W957=[25]Listas!$F$53,W957=[25]Listas!$F$54),[25]Listas!$G$53,IF(W957=[25]Listas!$F$55,[25]Listas!$G$55,""))</f>
        <v/>
      </c>
      <c r="Z957" s="331"/>
      <c r="AA957" s="182" t="str">
        <f>+IF(Z957=[25]Listas!$E$46,[25]Listas!$F$46,IF(Z957=[25]Listas!$E$47,[25]Listas!$F$47,""))</f>
        <v/>
      </c>
      <c r="AB957" s="183" t="str">
        <f t="shared" si="146"/>
        <v/>
      </c>
      <c r="AC957" s="319"/>
      <c r="AD957" s="322"/>
      <c r="AE957" s="323"/>
      <c r="AF957" s="305" t="str">
        <f t="shared" si="140"/>
        <v>Muy baja</v>
      </c>
      <c r="AG957" s="145">
        <f>IF(Y957=[25]Listas!$G$53,AG956-(AG956*AB957),AG956)</f>
        <v>0.12</v>
      </c>
      <c r="AH957" s="562"/>
      <c r="AI957" s="305" t="str">
        <f t="shared" si="144"/>
        <v>Catastrófico</v>
      </c>
      <c r="AJ957" s="145">
        <f>IF(Y957=[25]Listas!$G$55,AJ956-(AJ956*AB957),AJ956)</f>
        <v>1</v>
      </c>
      <c r="AK957" s="562"/>
      <c r="AL957" s="565"/>
      <c r="AM957" s="565"/>
      <c r="AN957" s="565"/>
      <c r="AO957" s="568"/>
      <c r="AP957" s="571"/>
      <c r="AQ957" s="332"/>
      <c r="AR957" s="185"/>
    </row>
    <row r="958" spans="2:70" ht="15" hidden="1" customHeight="1" thickTop="1" x14ac:dyDescent="0.35">
      <c r="B958" s="537"/>
      <c r="C958" s="560"/>
      <c r="D958" s="574"/>
      <c r="E958" s="577"/>
      <c r="F958" s="625"/>
      <c r="G958" s="628"/>
      <c r="H958" s="628"/>
      <c r="I958" s="589"/>
      <c r="J958" s="589"/>
      <c r="K958" s="592"/>
      <c r="L958" s="589"/>
      <c r="M958" s="595"/>
      <c r="N958" s="598"/>
      <c r="O958" s="601"/>
      <c r="P958" s="595"/>
      <c r="Q958" s="604"/>
      <c r="R958" s="601"/>
      <c r="S958" s="289"/>
      <c r="T958" s="607"/>
      <c r="U958" s="142" t="s">
        <v>215</v>
      </c>
      <c r="V958" s="415"/>
      <c r="W958" s="331"/>
      <c r="X958" s="320" t="str">
        <f>IF(W958=[25]Listas!$B$46,[25]Listas!$C$46,IF(W958=[25]Listas!$B$47,[25]Listas!$C$47,IF(W958=[25]Listas!$B$48,[25]Listas!$C$48,"")))</f>
        <v/>
      </c>
      <c r="Y958" s="321" t="str">
        <f>IF(OR(W958=[25]Listas!$F$53,W958=[25]Listas!$F$54),[25]Listas!$G$53,IF(W958=[25]Listas!$F$55,[25]Listas!$G$55,""))</f>
        <v/>
      </c>
      <c r="Z958" s="331"/>
      <c r="AA958" s="182" t="str">
        <f>+IF(Z958=[25]Listas!$E$46,[25]Listas!$F$46,IF(Z958=[25]Listas!$E$47,[25]Listas!$F$47,""))</f>
        <v/>
      </c>
      <c r="AB958" s="183" t="str">
        <f t="shared" si="146"/>
        <v/>
      </c>
      <c r="AC958" s="319"/>
      <c r="AD958" s="322"/>
      <c r="AE958" s="323"/>
      <c r="AF958" s="305" t="str">
        <f t="shared" si="140"/>
        <v>Muy baja</v>
      </c>
      <c r="AG958" s="145">
        <f>IF(Y958=[25]Listas!$G$53,AG957-(AG957*AB958),AG957)</f>
        <v>0.12</v>
      </c>
      <c r="AH958" s="562"/>
      <c r="AI958" s="305" t="str">
        <f t="shared" si="144"/>
        <v>Catastrófico</v>
      </c>
      <c r="AJ958" s="145">
        <f>IF(Y958=[25]Listas!$G$55,AJ957-(AJ957*AB958),AJ957)</f>
        <v>1</v>
      </c>
      <c r="AK958" s="562"/>
      <c r="AL958" s="565"/>
      <c r="AM958" s="565"/>
      <c r="AN958" s="565"/>
      <c r="AO958" s="568"/>
      <c r="AP958" s="571"/>
      <c r="AQ958" s="333"/>
      <c r="AR958" s="185"/>
    </row>
    <row r="959" spans="2:70" ht="15" hidden="1" customHeight="1" thickTop="1" x14ac:dyDescent="0.35">
      <c r="B959" s="537"/>
      <c r="C959" s="560"/>
      <c r="D959" s="574"/>
      <c r="E959" s="577"/>
      <c r="F959" s="625"/>
      <c r="G959" s="628"/>
      <c r="H959" s="628"/>
      <c r="I959" s="589"/>
      <c r="J959" s="589"/>
      <c r="K959" s="592"/>
      <c r="L959" s="589"/>
      <c r="M959" s="595"/>
      <c r="N959" s="598"/>
      <c r="O959" s="601"/>
      <c r="P959" s="595"/>
      <c r="Q959" s="604"/>
      <c r="R959" s="601"/>
      <c r="S959" s="289"/>
      <c r="T959" s="607"/>
      <c r="U959" s="142" t="s">
        <v>220</v>
      </c>
      <c r="V959" s="415"/>
      <c r="W959" s="331"/>
      <c r="X959" s="320" t="str">
        <f>IF(W959=[25]Listas!$B$46,[25]Listas!$C$46,IF(W959=[25]Listas!$B$47,[25]Listas!$C$47,IF(W959=[25]Listas!$B$48,[25]Listas!$C$48,"")))</f>
        <v/>
      </c>
      <c r="Y959" s="321" t="str">
        <f>IF(OR(W959=[25]Listas!$F$53,W959=[25]Listas!$F$54),[25]Listas!$G$53,IF(W959=[25]Listas!$F$55,[25]Listas!$G$55,""))</f>
        <v/>
      </c>
      <c r="Z959" s="331"/>
      <c r="AA959" s="182" t="str">
        <f>+IF(Z959=[25]Listas!$E$46,[25]Listas!$F$46,IF(Z959=[25]Listas!$E$47,[25]Listas!$F$47,""))</f>
        <v/>
      </c>
      <c r="AB959" s="183" t="str">
        <f t="shared" si="146"/>
        <v/>
      </c>
      <c r="AC959" s="319"/>
      <c r="AD959" s="322"/>
      <c r="AE959" s="323"/>
      <c r="AF959" s="305" t="str">
        <f t="shared" si="140"/>
        <v>Muy baja</v>
      </c>
      <c r="AG959" s="145">
        <f>IF(Y959=[25]Listas!$G$53,AG958-(AG958*AB959),AG958)</f>
        <v>0.12</v>
      </c>
      <c r="AH959" s="562"/>
      <c r="AI959" s="305" t="str">
        <f t="shared" si="144"/>
        <v>Catastrófico</v>
      </c>
      <c r="AJ959" s="145">
        <f>IF(Y959=[25]Listas!$G$55,AJ958-(AJ958*AB959),AJ958)</f>
        <v>1</v>
      </c>
      <c r="AK959" s="562"/>
      <c r="AL959" s="565"/>
      <c r="AM959" s="565"/>
      <c r="AN959" s="565"/>
      <c r="AO959" s="568"/>
      <c r="AP959" s="571"/>
      <c r="AQ959" s="334"/>
      <c r="AR959" s="185"/>
    </row>
    <row r="960" spans="2:70" ht="15" hidden="1" customHeight="1" thickTop="1" x14ac:dyDescent="0.35">
      <c r="B960" s="537"/>
      <c r="C960" s="560"/>
      <c r="D960" s="574"/>
      <c r="E960" s="577"/>
      <c r="F960" s="625"/>
      <c r="G960" s="628"/>
      <c r="H960" s="628"/>
      <c r="I960" s="589"/>
      <c r="J960" s="589"/>
      <c r="K960" s="592"/>
      <c r="L960" s="589"/>
      <c r="M960" s="595"/>
      <c r="N960" s="598"/>
      <c r="O960" s="601"/>
      <c r="P960" s="595"/>
      <c r="Q960" s="604"/>
      <c r="R960" s="601"/>
      <c r="S960" s="289"/>
      <c r="T960" s="607"/>
      <c r="U960" s="142" t="s">
        <v>223</v>
      </c>
      <c r="V960" s="415"/>
      <c r="W960" s="331"/>
      <c r="X960" s="320" t="str">
        <f>IF(W960=[25]Listas!$B$46,[25]Listas!$C$46,IF(W960=[25]Listas!$B$47,[25]Listas!$C$47,IF(W960=[25]Listas!$B$48,[25]Listas!$C$48,"")))</f>
        <v/>
      </c>
      <c r="Y960" s="321" t="str">
        <f>IF(OR(W960=[25]Listas!$F$53,W960=[25]Listas!$F$54),[25]Listas!$G$53,IF(W960=[25]Listas!$F$55,[25]Listas!$G$55,""))</f>
        <v/>
      </c>
      <c r="Z960" s="331"/>
      <c r="AA960" s="182" t="str">
        <f>+IF(Z960=[25]Listas!$E$46,[25]Listas!$F$46,IF(Z960=[25]Listas!$E$47,[25]Listas!$F$47,""))</f>
        <v/>
      </c>
      <c r="AB960" s="183" t="str">
        <f t="shared" si="146"/>
        <v/>
      </c>
      <c r="AC960" s="319"/>
      <c r="AD960" s="322"/>
      <c r="AE960" s="323"/>
      <c r="AF960" s="305" t="str">
        <f t="shared" si="140"/>
        <v>Muy baja</v>
      </c>
      <c r="AG960" s="145">
        <f>IF(Y960=[25]Listas!$G$53,AG959-(AG959*AB960),AG959)</f>
        <v>0.12</v>
      </c>
      <c r="AH960" s="562"/>
      <c r="AI960" s="305" t="str">
        <f t="shared" si="144"/>
        <v>Catastrófico</v>
      </c>
      <c r="AJ960" s="145">
        <f>IF(Y960=[25]Listas!$G$55,AJ959-(AJ959*AB960),AJ959)</f>
        <v>1</v>
      </c>
      <c r="AK960" s="562"/>
      <c r="AL960" s="565"/>
      <c r="AM960" s="565"/>
      <c r="AN960" s="565"/>
      <c r="AO960" s="568"/>
      <c r="AP960" s="571"/>
      <c r="AQ960" s="324"/>
      <c r="AR960" s="185"/>
    </row>
    <row r="961" spans="2:44" ht="15.75" hidden="1" customHeight="1" thickTop="1" x14ac:dyDescent="0.35">
      <c r="B961" s="537"/>
      <c r="C961" s="560"/>
      <c r="D961" s="575"/>
      <c r="E961" s="578"/>
      <c r="F961" s="626"/>
      <c r="G961" s="629"/>
      <c r="H961" s="629"/>
      <c r="I961" s="590"/>
      <c r="J961" s="590"/>
      <c r="K961" s="593"/>
      <c r="L961" s="590"/>
      <c r="M961" s="596"/>
      <c r="N961" s="599"/>
      <c r="O961" s="602"/>
      <c r="P961" s="596"/>
      <c r="Q961" s="605"/>
      <c r="R961" s="602"/>
      <c r="S961" s="293"/>
      <c r="T961" s="608"/>
      <c r="U961" s="202" t="s">
        <v>224</v>
      </c>
      <c r="V961" s="416"/>
      <c r="W961" s="335"/>
      <c r="X961" s="336" t="str">
        <f>IF(W961=[25]Listas!$B$46,[25]Listas!$C$46,IF(W961=[25]Listas!$B$47,[25]Listas!$C$47,IF(W961=[25]Listas!$B$48,[25]Listas!$C$48,"")))</f>
        <v/>
      </c>
      <c r="Y961" s="337" t="str">
        <f>IF(OR(W961=[25]Listas!$F$53,W961=[25]Listas!$F$54),[25]Listas!$G$53,IF(W961=[25]Listas!$F$55,[25]Listas!$G$55,""))</f>
        <v/>
      </c>
      <c r="Z961" s="335"/>
      <c r="AA961" s="186" t="str">
        <f>+IF(Z961=[25]Listas!$E$46,[25]Listas!$F$46,IF(Z961=[25]Listas!$E$47,[25]Listas!$F$47,""))</f>
        <v/>
      </c>
      <c r="AB961" s="187" t="str">
        <f t="shared" si="146"/>
        <v/>
      </c>
      <c r="AC961" s="338"/>
      <c r="AD961" s="339"/>
      <c r="AE961" s="340"/>
      <c r="AF961" s="311" t="str">
        <f t="shared" si="140"/>
        <v>Muy baja</v>
      </c>
      <c r="AG961" s="179">
        <f>IF(Y961=[25]Listas!$G$53,AG960-(AG960*AB961),AG960)</f>
        <v>0.12</v>
      </c>
      <c r="AH961" s="563"/>
      <c r="AI961" s="311" t="str">
        <f t="shared" si="144"/>
        <v>Catastrófico</v>
      </c>
      <c r="AJ961" s="179">
        <f>IF(Y961=[25]Listas!$G$55,AJ960-(AJ960*AB961),AJ960)</f>
        <v>1</v>
      </c>
      <c r="AK961" s="563"/>
      <c r="AL961" s="566"/>
      <c r="AM961" s="566"/>
      <c r="AN961" s="566"/>
      <c r="AO961" s="569"/>
      <c r="AP961" s="572"/>
      <c r="AQ961" s="341"/>
      <c r="AR961" s="188"/>
    </row>
    <row r="962" spans="2:44" ht="113" thickTop="1" thickBot="1" x14ac:dyDescent="0.4">
      <c r="B962" s="537"/>
      <c r="C962" s="560"/>
      <c r="D962" s="609" t="s">
        <v>1042</v>
      </c>
      <c r="E962" s="576" t="s">
        <v>5</v>
      </c>
      <c r="F962" s="624" t="s">
        <v>1043</v>
      </c>
      <c r="G962" s="627" t="s">
        <v>1044</v>
      </c>
      <c r="H962" s="627" t="s">
        <v>1045</v>
      </c>
      <c r="I962" s="588" t="s">
        <v>28</v>
      </c>
      <c r="J962" s="588" t="s">
        <v>22</v>
      </c>
      <c r="K962" s="591" t="s">
        <v>1046</v>
      </c>
      <c r="L962" s="588" t="s">
        <v>168</v>
      </c>
      <c r="M962" s="594" t="s">
        <v>222</v>
      </c>
      <c r="N962" s="597" t="str">
        <f>+IF(M962="","",IF(M962=$BO$15,$BN$15,IF(M962=$BO$16,$BN$16,IF(M962=$BO$17,$BN$17,IF(M962=$BO$18,$BN$18,IF(M962=$BO$19,$BN$19))))))</f>
        <v>Muy Alta</v>
      </c>
      <c r="O962" s="600">
        <f>+IF(M962="","",IF(M962=$BO$15,$BR$15,IF(M962=$BO$16,$BR$16,IF(M962=$BO$17,$BR$17,IF(M962=$BO$18,$BR$18,IF(M962=$BO$19,$BR$19))))))</f>
        <v>1</v>
      </c>
      <c r="P962" s="594" t="s">
        <v>212</v>
      </c>
      <c r="Q962" s="603" t="str">
        <f>+IF(P962="","",IF(P962='[25]Mapa de Calor inherente'!$AF$6,'[25]Mapa de Calor inherente'!$AD$6,IF(P962='[25]Mapa de Calor inherente'!$AF$7,'[25]Mapa de Calor inherente'!$AD$7,IF(P962='[25]Mapa de Calor inherente'!$AF$8,'[25]Mapa de Calor inherente'!$AD$8,IF(P962='[25]Mapa de Calor inherente'!$AF$9,'[25]Mapa de Calor inherente'!$AD$9,IF(P962='[25]Mapa de Calor inherente'!$AF$10,'[25]Mapa de Calor inherente'!$AD$10,IF(P962='[25]Mapa de Calor inherente'!$AG$6,'[25]Mapa de Calor inherente'!$AD$6,IF(P962='[25]Mapa de Calor inherente'!$AG$7,'[25]Mapa de Calor inherente'!$AD$7,IF(P962='[25]Mapa de Calor inherente'!$AG$8,'[25]Mapa de Calor inherente'!$AD$8,IF(P962='[25]Mapa de Calor inherente'!$AG$9,'[25]Mapa de Calor inherente'!$AD$9,IF(P962='[25]Mapa de Calor inherente'!$AG$10,'[25]Mapa de Calor inherente'!$AD$10,IF(P962='[25]Mapa de Calor inherente'!$AD$8,'[25]Mapa de Calor inherente'!$AD$8,IF(P962='[25]Mapa de Calor inherente'!$AD$9,'[25]Mapa de Calor inherente'!$AD$9,IF(P962='[25]Mapa de Calor inherente'!$AD$10,'[25]Mapa de Calor inherente'!$AD$10))))))))))))))</f>
        <v>Moderado</v>
      </c>
      <c r="R962" s="600">
        <f>+IF(P962="","",IF(P962='[25]Mapa de Calor inherente'!$AF$6,'[25]Mapa de Calor inherente'!$AE$6,IF(P962='[25]Mapa de Calor inherente'!$AF$7,'[25]Mapa de Calor inherente'!$AE$7,IF(P962='[25]Mapa de Calor inherente'!$AF$8,'[25]Mapa de Calor inherente'!$AE$8,IF(P962='[25]Mapa de Calor inherente'!$AF$9,'[25]Mapa de Calor inherente'!$AE$9,IF(P962='[25]Mapa de Calor inherente'!$AF$10,'[25]Mapa de Calor inherente'!$AE$10,IF(P962='[25]Mapa de Calor inherente'!$AG$6,'[25]Mapa de Calor inherente'!$AE$6,IF(P962='[25]Mapa de Calor inherente'!$AG$7,'[25]Mapa de Calor inherente'!$AE$7,IF(P962='[25]Mapa de Calor inherente'!$AG$8,'[25]Mapa de Calor inherente'!$AE$8,IF(P962='[25]Mapa de Calor inherente'!$AG$9,'[25]Mapa de Calor inherente'!$AE$9,IF(P962='[25]Mapa de Calor inherente'!$AG$10,'[25]Mapa de Calor inherente'!$AE$10,IF(P962='[25]Mapa de Calor inherente'!$AD$8,'[25]Mapa de Calor inherente'!$AE$8,IF(P962='[25]Mapa de Calor inherente'!$AD$9,'[25]Mapa de Calor inherente'!$AE$9,IF(P962='[25]Mapa de Calor inherente'!$AD$10,'[25]Mapa de Calor inherente'!$AE$10))))))))))))))</f>
        <v>0.6</v>
      </c>
      <c r="S962" s="292"/>
      <c r="T962" s="603" t="str">
        <f>+IF(N962=$BB$17,IF(Q962=$BC$16,$BC$17,IF(Q962=$BD$16,$BD$17,IF(Q962=$BE$16,$BE$17,IF(Q962=$BF$16,$BF$17,IF(Q962=$BG$16,$BG$17))))),IF(N962=$BB$18,IF(Q962=$BC$16,$BC$18,IF(Q962=$BD$16,$BD$18,IF(Q962=$BE$16,$BE$18,IF(Q962=$BF$16,$BF$18,IF(Q962=$BG$16,$BG$18))))),IF(N962=$BB$19,IF(Q962=$BC$16,$BC$19,IF(Q962=$BD$16,$BD$19,IF(Q962=$BE$16,$BE$19,IF(Q962=$BF$16,$BF$19,IF(Q962=$BG$16,$BG$19))))),IF(N962=$BB$20,IF(Q962=$BC$16,$BC$20,IF(Q962=$BD$16,$BD$20,IF(Q962=$BE$16,$BE$20,IF(Q962=$BF$16,$BF$20,IF(Q962=$BG$16,$BG$20))))),IF(N962=$BB$21,IF(Q962=$BC$16,$BC$21,IF(Q962=$BD$16,$BD$21,IF(Q962=$BE$16,$BE$21,IF(Q962=$BF$16,$BF$21,IF(Q962=$BG$16,$BG$21))))),"")))))</f>
        <v>Alto</v>
      </c>
      <c r="U962" s="139" t="s">
        <v>171</v>
      </c>
      <c r="V962" s="521" t="s">
        <v>1047</v>
      </c>
      <c r="W962" s="313" t="s">
        <v>40</v>
      </c>
      <c r="X962" s="314">
        <f>IF(W962=[25]Listas!$B$46,[25]Listas!$C$46,IF(W962=[25]Listas!$B$47,[25]Listas!$C$47,IF(W962=[25]Listas!$B$48,[25]Listas!$C$48,"")))</f>
        <v>0.25</v>
      </c>
      <c r="Y962" s="315" t="str">
        <f>IF(OR(W962=[25]Listas!$F$53,W962=[25]Listas!$F$54),[25]Listas!$G$53,IF(W962=[25]Listas!$F$55,[25]Listas!$G$55,""))</f>
        <v>Probabilidad</v>
      </c>
      <c r="Z962" s="313" t="s">
        <v>43</v>
      </c>
      <c r="AA962" s="314">
        <f>+IF(Z962=[25]Listas!$E$46,[25]Listas!$F$46,IF(Z962=[25]Listas!$E$47,[25]Listas!$F$47,""))</f>
        <v>0.15</v>
      </c>
      <c r="AB962" s="181">
        <f>IFERROR(X962+AA962,"")</f>
        <v>0.4</v>
      </c>
      <c r="AC962" s="313" t="s">
        <v>57</v>
      </c>
      <c r="AD962" s="316" t="s">
        <v>58</v>
      </c>
      <c r="AE962" s="317" t="s">
        <v>59</v>
      </c>
      <c r="AF962" s="299" t="str">
        <f t="shared" si="140"/>
        <v>Media</v>
      </c>
      <c r="AG962" s="141">
        <f>IF(Y962=[25]Listas!$G$53,O962-(O962*AB962),O962)</f>
        <v>0.6</v>
      </c>
      <c r="AH962" s="561">
        <f>+IF(AG971="","",AG971)</f>
        <v>0.216</v>
      </c>
      <c r="AI962" s="299" t="str">
        <f>IF(AJ962="","",IF(AJ962&lt;=20%,"Leve",IF(AJ962&lt;=40%,"Menor",IF(AJ962&lt;=60%,"Moderado",IF(AJ962&lt;=80%,"Mayor","Catastrófico")))))</f>
        <v>Moderado</v>
      </c>
      <c r="AJ962" s="141">
        <f>IF(Y962=[25]Listas!$G$55,R962-(R962*AB962),R962)</f>
        <v>0.6</v>
      </c>
      <c r="AK962" s="561">
        <f>+IF(AJ971="","",AJ971)</f>
        <v>0.6</v>
      </c>
      <c r="AL962" s="564" t="str">
        <f>+IF(AH962=0,"",IF(AH962&lt;=$BA$21,$BB$21,IF(AH962&lt;=$BA$20,$BB$20,IF(AH962&lt;=$BA$19,$BB$19,IF(AH962&lt;=$BA$18,$BB$18,IF(AH962&lt;=$BA$17,$BB$17,""))))))</f>
        <v>Baja</v>
      </c>
      <c r="AM962" s="564" t="str">
        <f>+IF(AK962=0,"",IF(AK962&lt;=$BC$15,$BC$16,IF(AK962&lt;=$BD$15,$BD$16,IF(AK962&lt;=$BE$15,$BE$16,IF(AK962&lt;=$BF$15,$BF$16,IF(AK962&lt;=$BG$15,$BG$16,""))))))</f>
        <v>Moderado</v>
      </c>
      <c r="AN962" s="564" t="str">
        <f>IF(AL962=$BB$17,IF(AM962=$BC$16,$BC$17,IF(AM962=$BD$16,$BD$17,IF(AM962=$BE$16,$BE$17,IF(AM962=$BF$16,$BF$17,IF(AM962=$BG$16,$BG$17))))),IF(AL962=$BB$18,IF(AM962=$BC$16,$BC$18,IF(AM962=$BD$16,$BD$18,IF(AM962=$BE$16,$BE$18,IF(AM962=$BF$16,$BF$18,IF(AM962=$BG$16,$BG$18))))),IF(AL962=$BB$19,IF(AM962=$BC$16,$BC$19,IF(AM962=$BD$16,$BD$19,IF(AM962=$BE$16,$BE$19,IF(AM962=$BF$16,$BF$19,IF(AM962=$BG$16,$BG$19))))),IF(AL962=$BB$20,IF(AM962=$BC$16,$BC$20,IF(AM962=$BD$16,$BD$20,IF(AM962=$BE$16,$BE$20,IF(AM962=$BF$16,$BF$20,IF(AM962=$BG$16,$BG$20))))),IF(AL962=$BB$21,IF(AM962=$BC$16,$BC$21,IF(AM962=$BD$16,$BD$21,IF(AM962=$BE$16,$BE$21,IF(AM962=$BF$16,$BF$21,IF(AM962=$BG$16,$BG$21))))),"")))))</f>
        <v>Moderado</v>
      </c>
      <c r="AO962" s="567" t="str">
        <f>IF(AP962="","",IF(AP962=[25]Listas!$F$61,[25]Listas!$G$61,IF(AP962=[25]Listas!$F$63,[25]Listas!$G$63,IF(AP962=[25]Listas!$F$64,[25]Listas!$G$64))))</f>
        <v>Requiere Plan de Acción</v>
      </c>
      <c r="AP962" s="570" t="str">
        <f>IF(AN962="","",IF(OR(AN962=[25]Listas!$E$61,AN962=[25]Listas!$E$62),[25]Listas!$F$61,IF(AN962=[25]Listas!$E$63,[25]Listas!$F$63,IF(AN962=[25]Listas!$E$64,[25]Listas!$F$64))))</f>
        <v>Aceptar o reducir el riesgo</v>
      </c>
      <c r="AQ962" s="342" t="s">
        <v>90</v>
      </c>
      <c r="AR962" s="119" t="s">
        <v>1048</v>
      </c>
    </row>
    <row r="963" spans="2:44" ht="228" customHeight="1" thickTop="1" thickBot="1" x14ac:dyDescent="0.4">
      <c r="B963" s="537"/>
      <c r="C963" s="560"/>
      <c r="D963" s="610"/>
      <c r="E963" s="577"/>
      <c r="F963" s="625"/>
      <c r="G963" s="628"/>
      <c r="H963" s="628"/>
      <c r="I963" s="589"/>
      <c r="J963" s="589"/>
      <c r="K963" s="592"/>
      <c r="L963" s="589"/>
      <c r="M963" s="595"/>
      <c r="N963" s="598"/>
      <c r="O963" s="601"/>
      <c r="P963" s="595"/>
      <c r="Q963" s="604"/>
      <c r="R963" s="601"/>
      <c r="S963" s="286"/>
      <c r="T963" s="604"/>
      <c r="U963" s="142" t="s">
        <v>174</v>
      </c>
      <c r="V963" s="522" t="s">
        <v>1049</v>
      </c>
      <c r="W963" s="319" t="s">
        <v>40</v>
      </c>
      <c r="X963" s="320">
        <f>IF(W963=[25]Listas!$B$46,[25]Listas!$C$46,IF(W963=[25]Listas!$B$47,[25]Listas!$C$47,IF(W963=[25]Listas!$B$48,[25]Listas!$C$48,"")))</f>
        <v>0.25</v>
      </c>
      <c r="Y963" s="321" t="str">
        <f>IF(OR(W963=[25]Listas!$F$53,W963=[25]Listas!$F$54),[25]Listas!$G$53,IF(W963=[25]Listas!$F$55,[25]Listas!$G$55,""))</f>
        <v>Probabilidad</v>
      </c>
      <c r="Z963" s="319" t="s">
        <v>43</v>
      </c>
      <c r="AA963" s="182">
        <f>+IF(Z963=[25]Listas!$E$46,[25]Listas!$F$46,IF(Z963=[25]Listas!$E$47,[25]Listas!$F$47,""))</f>
        <v>0.15</v>
      </c>
      <c r="AB963" s="183">
        <f>IFERROR(X963+AA963,"")</f>
        <v>0.4</v>
      </c>
      <c r="AC963" s="319" t="s">
        <v>57</v>
      </c>
      <c r="AD963" s="322" t="s">
        <v>58</v>
      </c>
      <c r="AE963" s="323" t="s">
        <v>59</v>
      </c>
      <c r="AF963" s="305" t="str">
        <f t="shared" si="140"/>
        <v>Baja</v>
      </c>
      <c r="AG963" s="145">
        <f>IF(Y963=[25]Listas!$G$53,AG962-(AG962*AB963),AG962)</f>
        <v>0.36</v>
      </c>
      <c r="AH963" s="562"/>
      <c r="AI963" s="305" t="str">
        <f t="shared" ref="AI963:AI971" si="147">IF(AJ963="","",IF(AJ963&lt;=20%,"Leve",IF(AJ963&lt;=40%,"Menor",IF(AJ963&lt;=60%,"Moderado",IF(AJ963&lt;=80%,"Mayor","Catastrófico")))))</f>
        <v>Moderado</v>
      </c>
      <c r="AJ963" s="145">
        <f>IF(Y963=[25]Listas!$G$55,AJ962-(AJ962*AB963),AJ962)</f>
        <v>0.6</v>
      </c>
      <c r="AK963" s="562"/>
      <c r="AL963" s="565"/>
      <c r="AM963" s="565"/>
      <c r="AN963" s="565"/>
      <c r="AO963" s="568"/>
      <c r="AP963" s="571"/>
      <c r="AQ963" s="344"/>
      <c r="AR963" s="191"/>
    </row>
    <row r="964" spans="2:44" ht="179.25" customHeight="1" thickTop="1" thickBot="1" x14ac:dyDescent="0.4">
      <c r="B964" s="537"/>
      <c r="C964" s="560"/>
      <c r="D964" s="610"/>
      <c r="E964" s="577"/>
      <c r="F964" s="625"/>
      <c r="G964" s="628"/>
      <c r="H964" s="628"/>
      <c r="I964" s="589"/>
      <c r="J964" s="589"/>
      <c r="K964" s="592"/>
      <c r="L964" s="589"/>
      <c r="M964" s="595"/>
      <c r="N964" s="598"/>
      <c r="O964" s="601"/>
      <c r="P964" s="595"/>
      <c r="Q964" s="604"/>
      <c r="R964" s="601"/>
      <c r="S964" s="287"/>
      <c r="T964" s="604"/>
      <c r="U964" s="142" t="s">
        <v>180</v>
      </c>
      <c r="V964" s="522" t="s">
        <v>1050</v>
      </c>
      <c r="W964" s="319" t="s">
        <v>40</v>
      </c>
      <c r="X964" s="320">
        <f>IF(W964=[25]Listas!$B$46,[25]Listas!$C$46,IF(W964=[25]Listas!$B$47,[25]Listas!$C$47,IF(W964=[25]Listas!$B$48,[25]Listas!$C$48,"")))</f>
        <v>0.25</v>
      </c>
      <c r="Y964" s="321" t="str">
        <f>IF(OR(W964=[25]Listas!$F$53,W964=[25]Listas!$F$54),[25]Listas!$G$53,IF(W964=[25]Listas!$F$55,[25]Listas!$G$55,""))</f>
        <v>Probabilidad</v>
      </c>
      <c r="Z964" s="319" t="s">
        <v>43</v>
      </c>
      <c r="AA964" s="182">
        <f>+IF(Z964=[25]Listas!$E$46,[25]Listas!$F$46,IF(Z964=[25]Listas!$E$47,[25]Listas!$F$47,""))</f>
        <v>0.15</v>
      </c>
      <c r="AB964" s="183">
        <f>IFERROR(X964+AA964,"")</f>
        <v>0.4</v>
      </c>
      <c r="AC964" s="319" t="s">
        <v>64</v>
      </c>
      <c r="AD964" s="322" t="s">
        <v>65</v>
      </c>
      <c r="AE964" s="323" t="s">
        <v>59</v>
      </c>
      <c r="AF964" s="305" t="str">
        <f t="shared" si="140"/>
        <v>Baja</v>
      </c>
      <c r="AG964" s="145">
        <f>IF(Y964=[25]Listas!$G$53,AG963-(AG963*AB964),AG963)</f>
        <v>0.216</v>
      </c>
      <c r="AH964" s="562"/>
      <c r="AI964" s="305" t="str">
        <f t="shared" si="147"/>
        <v>Moderado</v>
      </c>
      <c r="AJ964" s="145">
        <f>IF(Y964=[25]Listas!$G$55,AJ963-(AJ963*AB964),AJ963)</f>
        <v>0.6</v>
      </c>
      <c r="AK964" s="562"/>
      <c r="AL964" s="565"/>
      <c r="AM964" s="565"/>
      <c r="AN964" s="565"/>
      <c r="AO964" s="568"/>
      <c r="AP964" s="571"/>
      <c r="AQ964" s="344"/>
      <c r="AR964" s="191"/>
    </row>
    <row r="965" spans="2:44" ht="15.65" hidden="1" customHeight="1" thickTop="1" thickBot="1" x14ac:dyDescent="0.4">
      <c r="B965" s="537"/>
      <c r="C965" s="560"/>
      <c r="D965" s="610"/>
      <c r="E965" s="577"/>
      <c r="F965" s="625"/>
      <c r="G965" s="628"/>
      <c r="H965" s="628"/>
      <c r="I965" s="589"/>
      <c r="J965" s="589"/>
      <c r="K965" s="592"/>
      <c r="L965" s="589"/>
      <c r="M965" s="595"/>
      <c r="N965" s="598"/>
      <c r="O965" s="601"/>
      <c r="P965" s="595"/>
      <c r="Q965" s="604"/>
      <c r="R965" s="601"/>
      <c r="S965" s="287"/>
      <c r="T965" s="604"/>
      <c r="U965" s="142" t="s">
        <v>190</v>
      </c>
      <c r="V965" s="415"/>
      <c r="W965" s="319"/>
      <c r="X965" s="320" t="str">
        <f>IF(W965=[25]Listas!$B$46,[25]Listas!$C$46,IF(W965=[25]Listas!$B$47,[25]Listas!$C$47,IF(W965=[25]Listas!$B$48,[25]Listas!$C$48,"")))</f>
        <v/>
      </c>
      <c r="Y965" s="321" t="str">
        <f>IF(OR(W965=[25]Listas!$F$53,W965=[25]Listas!$F$54),[25]Listas!$G$53,IF(W965=[25]Listas!$F$55,[25]Listas!$G$55,""))</f>
        <v/>
      </c>
      <c r="Z965" s="319"/>
      <c r="AA965" s="182" t="str">
        <f>+IF(Z965=[25]Listas!$E$46,[25]Listas!$F$46,IF(Z965=[25]Listas!$E$47,[25]Listas!$F$47,""))</f>
        <v/>
      </c>
      <c r="AB965" s="183" t="str">
        <f t="shared" ref="AB965:AB971" si="148">IFERROR(X965+AA965,"")</f>
        <v/>
      </c>
      <c r="AC965" s="319"/>
      <c r="AD965" s="322"/>
      <c r="AE965" s="323"/>
      <c r="AF965" s="305" t="str">
        <f t="shared" si="140"/>
        <v>Baja</v>
      </c>
      <c r="AG965" s="145">
        <f>IF(Y965=[25]Listas!$G$53,AG964-(AG964*AB965),AG964)</f>
        <v>0.216</v>
      </c>
      <c r="AH965" s="562"/>
      <c r="AI965" s="305" t="str">
        <f t="shared" si="147"/>
        <v>Moderado</v>
      </c>
      <c r="AJ965" s="145">
        <f>IF(Y965=[25]Listas!$G$55,AJ964-(AJ964*AB965),AJ964)</f>
        <v>0.6</v>
      </c>
      <c r="AK965" s="562"/>
      <c r="AL965" s="565"/>
      <c r="AM965" s="565"/>
      <c r="AN965" s="565"/>
      <c r="AO965" s="568"/>
      <c r="AP965" s="571"/>
      <c r="AQ965" s="344"/>
      <c r="AR965" s="191"/>
    </row>
    <row r="966" spans="2:44" ht="15.65" hidden="1" customHeight="1" thickTop="1" thickBot="1" x14ac:dyDescent="0.4">
      <c r="B966" s="537"/>
      <c r="C966" s="560"/>
      <c r="D966" s="610"/>
      <c r="E966" s="577"/>
      <c r="F966" s="625"/>
      <c r="G966" s="628"/>
      <c r="H966" s="628"/>
      <c r="I966" s="589"/>
      <c r="J966" s="589"/>
      <c r="K966" s="592"/>
      <c r="L966" s="589"/>
      <c r="M966" s="595"/>
      <c r="N966" s="598"/>
      <c r="O966" s="601"/>
      <c r="P966" s="595"/>
      <c r="Q966" s="604"/>
      <c r="R966" s="601"/>
      <c r="S966" s="287"/>
      <c r="T966" s="604"/>
      <c r="U966" s="142" t="s">
        <v>198</v>
      </c>
      <c r="V966" s="415"/>
      <c r="W966" s="319"/>
      <c r="X966" s="320" t="str">
        <f>IF(W966=[25]Listas!$B$46,[25]Listas!$C$46,IF(W966=[25]Listas!$B$47,[25]Listas!$C$47,IF(W966=[25]Listas!$B$48,[25]Listas!$C$48,"")))</f>
        <v/>
      </c>
      <c r="Y966" s="321" t="str">
        <f>IF(OR(W966=[25]Listas!$F$53,W966=[25]Listas!$F$54),[25]Listas!$G$53,IF(W966=[25]Listas!$F$55,[25]Listas!$G$55,""))</f>
        <v/>
      </c>
      <c r="Z966" s="319"/>
      <c r="AA966" s="182" t="str">
        <f>+IF(Z966=[25]Listas!$E$46,[25]Listas!$F$46,IF(Z966=[25]Listas!$E$47,[25]Listas!$F$47,""))</f>
        <v/>
      </c>
      <c r="AB966" s="183" t="str">
        <f t="shared" si="148"/>
        <v/>
      </c>
      <c r="AC966" s="319"/>
      <c r="AD966" s="322"/>
      <c r="AE966" s="323"/>
      <c r="AF966" s="305" t="str">
        <f t="shared" si="140"/>
        <v>Baja</v>
      </c>
      <c r="AG966" s="145">
        <f>IF(Y966=[25]Listas!$G$53,AG965-(AG965*AB966),AG965)</f>
        <v>0.216</v>
      </c>
      <c r="AH966" s="562"/>
      <c r="AI966" s="305" t="str">
        <f t="shared" si="147"/>
        <v>Moderado</v>
      </c>
      <c r="AJ966" s="145">
        <f>IF(Y966=[25]Listas!$G$55,AJ965-(AJ965*AB966),AJ965)</f>
        <v>0.6</v>
      </c>
      <c r="AK966" s="562"/>
      <c r="AL966" s="565"/>
      <c r="AM966" s="565"/>
      <c r="AN966" s="565"/>
      <c r="AO966" s="568"/>
      <c r="AP966" s="571"/>
      <c r="AQ966" s="344"/>
      <c r="AR966" s="191"/>
    </row>
    <row r="967" spans="2:44" ht="15" hidden="1" thickTop="1" thickBot="1" x14ac:dyDescent="0.4">
      <c r="B967" s="537"/>
      <c r="C967" s="560"/>
      <c r="D967" s="610"/>
      <c r="E967" s="577"/>
      <c r="F967" s="625"/>
      <c r="G967" s="628"/>
      <c r="H967" s="628"/>
      <c r="I967" s="589"/>
      <c r="J967" s="589"/>
      <c r="K967" s="592"/>
      <c r="L967" s="589"/>
      <c r="M967" s="595"/>
      <c r="N967" s="598"/>
      <c r="O967" s="601"/>
      <c r="P967" s="595"/>
      <c r="Q967" s="604"/>
      <c r="R967" s="601"/>
      <c r="S967" s="288"/>
      <c r="T967" s="604"/>
      <c r="U967" s="142" t="s">
        <v>208</v>
      </c>
      <c r="V967" s="415"/>
      <c r="W967" s="319"/>
      <c r="X967" s="320" t="str">
        <f>IF(W967=[25]Listas!$B$46,[25]Listas!$C$46,IF(W967=[25]Listas!$B$47,[25]Listas!$C$47,IF(W967=[25]Listas!$B$48,[25]Listas!$C$48,"")))</f>
        <v/>
      </c>
      <c r="Y967" s="321" t="str">
        <f>IF(OR(W967=[25]Listas!$F$53,W967=[25]Listas!$F$54),[25]Listas!$G$53,IF(W967=[25]Listas!$F$55,[25]Listas!$G$55,""))</f>
        <v/>
      </c>
      <c r="Z967" s="319"/>
      <c r="AA967" s="182" t="str">
        <f>+IF(Z967=[25]Listas!$E$46,[25]Listas!$F$46,IF(Z967=[25]Listas!$E$47,[25]Listas!$F$47,""))</f>
        <v/>
      </c>
      <c r="AB967" s="183" t="str">
        <f t="shared" si="148"/>
        <v/>
      </c>
      <c r="AC967" s="319"/>
      <c r="AD967" s="322"/>
      <c r="AE967" s="323"/>
      <c r="AF967" s="305" t="str">
        <f t="shared" si="140"/>
        <v>Baja</v>
      </c>
      <c r="AG967" s="145">
        <f>IF(Y967=[25]Listas!$G$53,AG966-(AG966*AB967),AG966)</f>
        <v>0.216</v>
      </c>
      <c r="AH967" s="562"/>
      <c r="AI967" s="305" t="str">
        <f t="shared" si="147"/>
        <v>Moderado</v>
      </c>
      <c r="AJ967" s="145">
        <f>IF(Y967=[25]Listas!$G$55,AJ966-(AJ966*AB967),AJ966)</f>
        <v>0.6</v>
      </c>
      <c r="AK967" s="562"/>
      <c r="AL967" s="565"/>
      <c r="AM967" s="565"/>
      <c r="AN967" s="565"/>
      <c r="AO967" s="568"/>
      <c r="AP967" s="571"/>
      <c r="AQ967" s="344"/>
      <c r="AR967" s="191"/>
    </row>
    <row r="968" spans="2:44" ht="15.65" hidden="1" customHeight="1" thickTop="1" thickBot="1" x14ac:dyDescent="0.4">
      <c r="B968" s="537"/>
      <c r="C968" s="560"/>
      <c r="D968" s="610"/>
      <c r="E968" s="577"/>
      <c r="F968" s="625"/>
      <c r="G968" s="628"/>
      <c r="H968" s="628"/>
      <c r="I968" s="589"/>
      <c r="J968" s="589"/>
      <c r="K968" s="592"/>
      <c r="L968" s="589"/>
      <c r="M968" s="595"/>
      <c r="N968" s="598"/>
      <c r="O968" s="601"/>
      <c r="P968" s="595"/>
      <c r="Q968" s="604"/>
      <c r="R968" s="601"/>
      <c r="S968" s="289"/>
      <c r="T968" s="604"/>
      <c r="U968" s="142" t="s">
        <v>215</v>
      </c>
      <c r="V968" s="418"/>
      <c r="W968" s="331"/>
      <c r="X968" s="320" t="str">
        <f>IF(W968=[25]Listas!$B$46,[25]Listas!$C$46,IF(W968=[25]Listas!$B$47,[25]Listas!$C$47,IF(W968=[25]Listas!$B$48,[25]Listas!$C$48,"")))</f>
        <v/>
      </c>
      <c r="Y968" s="321" t="str">
        <f>IF(OR(W968=[25]Listas!$F$53,W968=[25]Listas!$F$54),[25]Listas!$G$53,IF(W968=[25]Listas!$F$55,[25]Listas!$G$55,""))</f>
        <v/>
      </c>
      <c r="Z968" s="331"/>
      <c r="AA968" s="182" t="str">
        <f>+IF(Z968=[25]Listas!$E$46,[25]Listas!$F$46,IF(Z968=[25]Listas!$E$47,[25]Listas!$F$47,""))</f>
        <v/>
      </c>
      <c r="AB968" s="183" t="str">
        <f t="shared" si="148"/>
        <v/>
      </c>
      <c r="AC968" s="319"/>
      <c r="AD968" s="322"/>
      <c r="AE968" s="323"/>
      <c r="AF968" s="305" t="str">
        <f t="shared" si="140"/>
        <v>Baja</v>
      </c>
      <c r="AG968" s="145">
        <f>IF(Y968=[25]Listas!$G$53,AG967-(AG967*AB968),AG967)</f>
        <v>0.216</v>
      </c>
      <c r="AH968" s="562"/>
      <c r="AI968" s="305" t="str">
        <f t="shared" si="147"/>
        <v>Moderado</v>
      </c>
      <c r="AJ968" s="145">
        <f>IF(Y968=[25]Listas!$G$55,AJ967-(AJ967*AB968),AJ967)</f>
        <v>0.6</v>
      </c>
      <c r="AK968" s="562"/>
      <c r="AL968" s="565"/>
      <c r="AM968" s="565"/>
      <c r="AN968" s="565"/>
      <c r="AO968" s="568"/>
      <c r="AP968" s="571"/>
      <c r="AQ968" s="344"/>
      <c r="AR968" s="191"/>
    </row>
    <row r="969" spans="2:44" ht="15.65" hidden="1" customHeight="1" thickTop="1" thickBot="1" x14ac:dyDescent="0.4">
      <c r="B969" s="537"/>
      <c r="C969" s="560"/>
      <c r="D969" s="610"/>
      <c r="E969" s="577"/>
      <c r="F969" s="625"/>
      <c r="G969" s="628"/>
      <c r="H969" s="628"/>
      <c r="I969" s="589"/>
      <c r="J969" s="589"/>
      <c r="K969" s="592"/>
      <c r="L969" s="589"/>
      <c r="M969" s="595"/>
      <c r="N969" s="598"/>
      <c r="O969" s="601"/>
      <c r="P969" s="595"/>
      <c r="Q969" s="604"/>
      <c r="R969" s="601"/>
      <c r="S969" s="289"/>
      <c r="T969" s="604"/>
      <c r="U969" s="142" t="s">
        <v>220</v>
      </c>
      <c r="V969" s="418"/>
      <c r="W969" s="331"/>
      <c r="X969" s="320" t="str">
        <f>IF(W969=[25]Listas!$B$46,[25]Listas!$C$46,IF(W969=[25]Listas!$B$47,[25]Listas!$C$47,IF(W969=[25]Listas!$B$48,[25]Listas!$C$48,"")))</f>
        <v/>
      </c>
      <c r="Y969" s="321" t="str">
        <f>IF(OR(W969=[25]Listas!$F$53,W969=[25]Listas!$F$54),[25]Listas!$G$53,IF(W969=[25]Listas!$F$55,[25]Listas!$G$55,""))</f>
        <v/>
      </c>
      <c r="Z969" s="331"/>
      <c r="AA969" s="182" t="str">
        <f>+IF(Z969=[25]Listas!$E$46,[25]Listas!$F$46,IF(Z969=[25]Listas!$E$47,[25]Listas!$F$47,""))</f>
        <v/>
      </c>
      <c r="AB969" s="183" t="str">
        <f t="shared" si="148"/>
        <v/>
      </c>
      <c r="AC969" s="319"/>
      <c r="AD969" s="322"/>
      <c r="AE969" s="323"/>
      <c r="AF969" s="305" t="str">
        <f t="shared" si="140"/>
        <v>Baja</v>
      </c>
      <c r="AG969" s="145">
        <f>IF(Y969=[25]Listas!$G$53,AG968-(AG968*AB969),AG968)</f>
        <v>0.216</v>
      </c>
      <c r="AH969" s="562"/>
      <c r="AI969" s="305" t="str">
        <f t="shared" si="147"/>
        <v>Moderado</v>
      </c>
      <c r="AJ969" s="145">
        <f>IF(Y969=[25]Listas!$G$55,AJ968-(AJ968*AB969),AJ968)</f>
        <v>0.6</v>
      </c>
      <c r="AK969" s="562"/>
      <c r="AL969" s="565"/>
      <c r="AM969" s="565"/>
      <c r="AN969" s="565"/>
      <c r="AO969" s="568"/>
      <c r="AP969" s="571"/>
      <c r="AQ969" s="344"/>
      <c r="AR969" s="191"/>
    </row>
    <row r="970" spans="2:44" ht="15.65" hidden="1" customHeight="1" thickTop="1" thickBot="1" x14ac:dyDescent="0.4">
      <c r="B970" s="537"/>
      <c r="C970" s="560"/>
      <c r="D970" s="610"/>
      <c r="E970" s="577"/>
      <c r="F970" s="625"/>
      <c r="G970" s="628"/>
      <c r="H970" s="628"/>
      <c r="I970" s="589"/>
      <c r="J970" s="589"/>
      <c r="K970" s="592"/>
      <c r="L970" s="589"/>
      <c r="M970" s="595"/>
      <c r="N970" s="598"/>
      <c r="O970" s="601"/>
      <c r="P970" s="595"/>
      <c r="Q970" s="604"/>
      <c r="R970" s="601"/>
      <c r="S970" s="289"/>
      <c r="T970" s="604"/>
      <c r="U970" s="142" t="s">
        <v>223</v>
      </c>
      <c r="V970" s="418"/>
      <c r="W970" s="331"/>
      <c r="X970" s="320" t="str">
        <f>IF(W970=[25]Listas!$B$46,[25]Listas!$C$46,IF(W970=[25]Listas!$B$47,[25]Listas!$C$47,IF(W970=[25]Listas!$B$48,[25]Listas!$C$48,"")))</f>
        <v/>
      </c>
      <c r="Y970" s="321" t="str">
        <f>IF(OR(W970=[25]Listas!$F$53,W970=[25]Listas!$F$54),[25]Listas!$G$53,IF(W970=[25]Listas!$F$55,[25]Listas!$G$55,""))</f>
        <v/>
      </c>
      <c r="Z970" s="331"/>
      <c r="AA970" s="182" t="str">
        <f>+IF(Z970=[25]Listas!$E$46,[25]Listas!$F$46,IF(Z970=[25]Listas!$E$47,[25]Listas!$F$47,""))</f>
        <v/>
      </c>
      <c r="AB970" s="183" t="str">
        <f t="shared" si="148"/>
        <v/>
      </c>
      <c r="AC970" s="319"/>
      <c r="AD970" s="322"/>
      <c r="AE970" s="323"/>
      <c r="AF970" s="305" t="str">
        <f t="shared" si="140"/>
        <v>Baja</v>
      </c>
      <c r="AG970" s="145">
        <f>IF(Y970=[25]Listas!$G$53,AG969-(AG969*AB970),AG969)</f>
        <v>0.216</v>
      </c>
      <c r="AH970" s="562"/>
      <c r="AI970" s="305" t="str">
        <f t="shared" si="147"/>
        <v>Moderado</v>
      </c>
      <c r="AJ970" s="145">
        <f>IF(Y970=[25]Listas!$G$55,AJ969-(AJ969*AB970),AJ969)</f>
        <v>0.6</v>
      </c>
      <c r="AK970" s="562"/>
      <c r="AL970" s="565"/>
      <c r="AM970" s="565"/>
      <c r="AN970" s="565"/>
      <c r="AO970" s="568"/>
      <c r="AP970" s="571"/>
      <c r="AQ970" s="344"/>
      <c r="AR970" s="191"/>
    </row>
    <row r="971" spans="2:44" ht="16" hidden="1" customHeight="1" thickTop="1" thickBot="1" x14ac:dyDescent="0.4">
      <c r="B971" s="537"/>
      <c r="C971" s="560"/>
      <c r="D971" s="611"/>
      <c r="E971" s="578"/>
      <c r="F971" s="626"/>
      <c r="G971" s="629"/>
      <c r="H971" s="629"/>
      <c r="I971" s="590"/>
      <c r="J971" s="590"/>
      <c r="K971" s="593"/>
      <c r="L971" s="590"/>
      <c r="M971" s="596"/>
      <c r="N971" s="599"/>
      <c r="O971" s="602"/>
      <c r="P971" s="596"/>
      <c r="Q971" s="605"/>
      <c r="R971" s="602"/>
      <c r="S971" s="293"/>
      <c r="T971" s="605"/>
      <c r="U971" s="202" t="s">
        <v>224</v>
      </c>
      <c r="V971" s="416"/>
      <c r="W971" s="335"/>
      <c r="X971" s="336" t="str">
        <f>IF(W971=[25]Listas!$B$46,[25]Listas!$C$46,IF(W971=[25]Listas!$B$47,[25]Listas!$C$47,IF(W971=[25]Listas!$B$48,[25]Listas!$C$48,"")))</f>
        <v/>
      </c>
      <c r="Y971" s="337" t="str">
        <f>IF(OR(W971=[25]Listas!$F$53,W971=[25]Listas!$F$54),[25]Listas!$G$53,IF(W971=[25]Listas!$F$55,[25]Listas!$G$55,""))</f>
        <v/>
      </c>
      <c r="Z971" s="335"/>
      <c r="AA971" s="186" t="str">
        <f>+IF(Z971=[25]Listas!$E$46,[25]Listas!$F$46,IF(Z971=[25]Listas!$E$47,[25]Listas!$F$47,""))</f>
        <v/>
      </c>
      <c r="AB971" s="187" t="str">
        <f t="shared" si="148"/>
        <v/>
      </c>
      <c r="AC971" s="338"/>
      <c r="AD971" s="339"/>
      <c r="AE971" s="340"/>
      <c r="AF971" s="311" t="str">
        <f t="shared" si="140"/>
        <v>Baja</v>
      </c>
      <c r="AG971" s="179">
        <f>IF(Y971=[25]Listas!$G$53,AG970-(AG970*AB971),AG970)</f>
        <v>0.216</v>
      </c>
      <c r="AH971" s="563"/>
      <c r="AI971" s="311" t="str">
        <f t="shared" si="147"/>
        <v>Moderado</v>
      </c>
      <c r="AJ971" s="179">
        <f>IF(Y971=[25]Listas!$G$55,AJ970-(AJ970*AB971),AJ970)</f>
        <v>0.6</v>
      </c>
      <c r="AK971" s="563"/>
      <c r="AL971" s="566"/>
      <c r="AM971" s="566"/>
      <c r="AN971" s="566"/>
      <c r="AO971" s="569"/>
      <c r="AP971" s="572"/>
      <c r="AQ971" s="346"/>
      <c r="AR971" s="192"/>
    </row>
    <row r="972" spans="2:44" ht="136.5" customHeight="1" thickTop="1" thickBot="1" x14ac:dyDescent="0.4">
      <c r="B972" s="537" t="s">
        <v>1051</v>
      </c>
      <c r="C972" s="559" t="s">
        <v>114</v>
      </c>
      <c r="D972" s="609" t="s">
        <v>1052</v>
      </c>
      <c r="E972" s="576" t="s">
        <v>4</v>
      </c>
      <c r="F972" s="612" t="s">
        <v>1053</v>
      </c>
      <c r="G972" s="615" t="s">
        <v>1054</v>
      </c>
      <c r="H972" s="618" t="s">
        <v>1055</v>
      </c>
      <c r="I972" s="588" t="s">
        <v>20</v>
      </c>
      <c r="J972" s="621" t="s">
        <v>1056</v>
      </c>
      <c r="K972" s="591" t="s">
        <v>1057</v>
      </c>
      <c r="L972" s="588" t="s">
        <v>168</v>
      </c>
      <c r="M972" s="594" t="s">
        <v>214</v>
      </c>
      <c r="N972" s="597" t="str">
        <f>+IF(M972="","",IF(M972=$BO$15,$BN$15,IF(M972=$BO$16,$BN$16,IF(M972=$BO$17,$BN$17,IF(M972=$BO$18,$BN$18,IF(M972=$BO$19,$BN$19))))))</f>
        <v>Media</v>
      </c>
      <c r="O972" s="600">
        <f>+IF(M972="","",IF(M972=$BO$15,$BR$15,IF(M972=$BO$16,$BR$16,IF(M972=$BO$17,$BR$17,IF(M972=$BO$18,$BR$18,IF(M972=$BO$19,$BR$19))))))</f>
        <v>0.6</v>
      </c>
      <c r="P972" s="594" t="s">
        <v>212</v>
      </c>
      <c r="Q972" s="603" t="str">
        <f>+IF(P972="","",IF(P972='[26]Mapa de Calor inherente'!$AF$6,'[26]Mapa de Calor inherente'!$AD$6,IF(P972='[26]Mapa de Calor inherente'!$AF$7,'[26]Mapa de Calor inherente'!$AD$7,IF(P972='[26]Mapa de Calor inherente'!$AF$8,'[26]Mapa de Calor inherente'!$AD$8,IF(P972='[26]Mapa de Calor inherente'!$AF$9,'[26]Mapa de Calor inherente'!$AD$9,IF(P972='[26]Mapa de Calor inherente'!$AF$10,'[26]Mapa de Calor inherente'!$AD$10,IF(P972='[26]Mapa de Calor inherente'!$AG$6,'[26]Mapa de Calor inherente'!$AD$6,IF(P972='[26]Mapa de Calor inherente'!$AG$7,'[26]Mapa de Calor inherente'!$AD$7,IF(P972='[26]Mapa de Calor inherente'!$AG$8,'[26]Mapa de Calor inherente'!$AD$8,IF(P972='[26]Mapa de Calor inherente'!$AG$9,'[26]Mapa de Calor inherente'!$AD$9,IF(P972='[26]Mapa de Calor inherente'!$AG$10,'[26]Mapa de Calor inherente'!$AD$10,IF(P972='[26]Mapa de Calor inherente'!$AD$8,'[26]Mapa de Calor inherente'!$AD$8,IF(P972='[26]Mapa de Calor inherente'!$AD$9,'[26]Mapa de Calor inherente'!$AD$9,IF(P972='[26]Mapa de Calor inherente'!$AD$10,'[26]Mapa de Calor inherente'!$AD$10))))))))))))))</f>
        <v>Moderado</v>
      </c>
      <c r="R972" s="600">
        <f>+IF(P972="","",IF(P972='[26]Mapa de Calor inherente'!$AF$6,'[26]Mapa de Calor inherente'!$AE$6,IF(P972='[26]Mapa de Calor inherente'!$AF$7,'[26]Mapa de Calor inherente'!$AE$7,IF(P972='[26]Mapa de Calor inherente'!$AF$8,'[26]Mapa de Calor inherente'!$AE$8,IF(P972='[26]Mapa de Calor inherente'!$AF$9,'[26]Mapa de Calor inherente'!$AE$9,IF(P972='[26]Mapa de Calor inherente'!$AF$10,'[26]Mapa de Calor inherente'!$AE$10,IF(P972='[26]Mapa de Calor inherente'!$AG$6,'[26]Mapa de Calor inherente'!$AE$6,IF(P972='[26]Mapa de Calor inherente'!$AG$7,'[26]Mapa de Calor inherente'!$AE$7,IF(P972='[26]Mapa de Calor inherente'!$AG$8,'[26]Mapa de Calor inherente'!$AE$8,IF(P972='[26]Mapa de Calor inherente'!$AG$9,'[26]Mapa de Calor inherente'!$AE$9,IF(P972='[26]Mapa de Calor inherente'!$AG$10,'[26]Mapa de Calor inherente'!$AE$10,IF(P972='[26]Mapa de Calor inherente'!$AD$8,'[26]Mapa de Calor inherente'!$AE$8,IF(P972='[26]Mapa de Calor inherente'!$AD$9,'[26]Mapa de Calor inherente'!$AE$9,IF(P972='[26]Mapa de Calor inherente'!$AD$10,'[26]Mapa de Calor inherente'!$AE$10))))))))))))))</f>
        <v>0.6</v>
      </c>
      <c r="S972" s="292"/>
      <c r="T972" s="603" t="str">
        <f>+IF(N972=$BB$17,IF(Q972=$BC$16,$BC$17,IF(Q972=$BD$16,$BD$17,IF(Q972=$BE$16,$BE$17,IF(Q972=$BF$16,$BF$17,IF(Q972=$BG$16,$BG$17))))),IF(N972=$BB$18,IF(Q972=$BC$16,$BC$18,IF(Q972=$BD$16,$BD$18,IF(Q972=$BE$16,$BE$18,IF(Q972=$BF$16,$BF$18,IF(Q972=$BG$16,$BG$18))))),IF(N972=$BB$19,IF(Q972=$BC$16,$BC$19,IF(Q972=$BD$16,$BD$19,IF(Q972=$BE$16,$BE$19,IF(Q972=$BF$16,$BF$19,IF(Q972=$BG$16,$BG$19))))),IF(N972=$BB$20,IF(Q972=$BC$16,$BC$20,IF(Q972=$BD$16,$BD$20,IF(Q972=$BE$16,$BE$20,IF(Q972=$BF$16,$BF$20,IF(Q972=$BG$16,$BG$20))))),IF(N972=$BB$21,IF(Q972=$BC$16,$BC$21,IF(Q972=$BD$16,$BD$21,IF(Q972=$BE$16,$BE$21,IF(Q972=$BF$16,$BF$21,IF(Q972=$BG$16,$BG$21))))),"")))))</f>
        <v>Moderado</v>
      </c>
      <c r="U972" s="139" t="s">
        <v>171</v>
      </c>
      <c r="V972" s="436" t="s">
        <v>1058</v>
      </c>
      <c r="W972" s="313" t="s">
        <v>42</v>
      </c>
      <c r="X972" s="314">
        <f>IF(W972=[26]Listas!$B$46,[26]Listas!$C$46,IF(W972=[26]Listas!$B$47,[26]Listas!$C$47,IF(W972=[26]Listas!$B$48,[26]Listas!$C$48,"")))</f>
        <v>0.15</v>
      </c>
      <c r="Y972" s="315" t="str">
        <f>IF(OR(W972=[26]Listas!$F$53,W972=[26]Listas!$F$54),[26]Listas!$G$53,IF(W972=[26]Listas!$F$55,[26]Listas!$G$55,""))</f>
        <v>Probabilidad</v>
      </c>
      <c r="Z972" s="313" t="s">
        <v>43</v>
      </c>
      <c r="AA972" s="314">
        <f>+IF(Z972=[26]Listas!$E$46,[26]Listas!$F$46,IF(Z972=[26]Listas!$E$47,[26]Listas!$F$47,""))</f>
        <v>0.15</v>
      </c>
      <c r="AB972" s="181">
        <f>IFERROR(X972+AA972,"")</f>
        <v>0.3</v>
      </c>
      <c r="AC972" s="313" t="s">
        <v>57</v>
      </c>
      <c r="AD972" s="313" t="s">
        <v>58</v>
      </c>
      <c r="AE972" s="317" t="s">
        <v>59</v>
      </c>
      <c r="AF972" s="299" t="str">
        <f t="shared" ref="AF972:AF1021" si="149">IF(AG972="","",IF(AG972&lt;=20%,"Muy baja",IF(AG972&lt;=40%,"Baja",IF(AG972&lt;=60%,"Media",IF(AG972&lt;=80%,"Alta","Muy alta")))))</f>
        <v>Media</v>
      </c>
      <c r="AG972" s="141">
        <f>IF(Y972=[26]Listas!$G$53,O972-(O972*AB972),O972)</f>
        <v>0.42</v>
      </c>
      <c r="AH972" s="561">
        <f>+IF(AG981="","",AG981)</f>
        <v>0.42</v>
      </c>
      <c r="AI972" s="299" t="str">
        <f>IF(AJ972="","",IF(AJ972&lt;=20%,"Leve",IF(AJ972&lt;=40%,"Menor",IF(AJ972&lt;=60%,"Moderado",IF(AJ972&lt;=80%,"Mayor","Catastrófico")))))</f>
        <v>Moderado</v>
      </c>
      <c r="AJ972" s="141">
        <f>IF(Y972=[26]Listas!$G$55,R972-(R972*AB972),R972)</f>
        <v>0.6</v>
      </c>
      <c r="AK972" s="561">
        <f>+IF(AJ981="","",AJ981)</f>
        <v>0.6</v>
      </c>
      <c r="AL972" s="564" t="str">
        <f>+IF(AH972=0,"",IF(AH972&lt;=$BA$21,$BB$21,IF(AH972&lt;=$BA$20,$BB$20,IF(AH972&lt;=$BA$19,$BB$19,IF(AH972&lt;=$BA$18,$BB$18,IF(AH972&lt;=$BA$17,$BB$17,""))))))</f>
        <v>Media</v>
      </c>
      <c r="AM972" s="564" t="str">
        <f>+IF(AK972=0,"",IF(AK972&lt;=$BC$15,$BC$16,IF(AK972&lt;=$BD$15,$BD$16,IF(AK972&lt;=$BE$15,$BE$16,IF(AK972&lt;=$BF$15,$BF$16,IF(AK972&lt;=$BG$15,$BG$16,""))))))</f>
        <v>Moderado</v>
      </c>
      <c r="AN972" s="564" t="str">
        <f>IF(AL972=$BB$17,IF(AM972=$BC$16,$BC$17,IF(AM972=$BD$16,$BD$17,IF(AM972=$BE$16,$BE$17,IF(AM972=$BF$16,$BF$17,IF(AM972=$BG$16,$BG$17))))),IF(AL972=$BB$18,IF(AM972=$BC$16,$BC$18,IF(AM972=$BD$16,$BD$18,IF(AM972=$BE$16,$BE$18,IF(AM972=$BF$16,$BF$18,IF(AM972=$BG$16,$BG$18))))),IF(AL972=$BB$19,IF(AM972=$BC$16,$BC$19,IF(AM972=$BD$16,$BD$19,IF(AM972=$BE$16,$BE$19,IF(AM972=$BF$16,$BF$19,IF(AM972=$BG$16,$BG$19))))),IF(AL972=$BB$20,IF(AM972=$BC$16,$BC$20,IF(AM972=$BD$16,$BD$20,IF(AM972=$BE$16,$BE$20,IF(AM972=$BF$16,$BF$20,IF(AM972=$BG$16,$BG$20))))),IF(AL972=$BB$21,IF(AM972=$BC$16,$BC$21,IF(AM972=$BD$16,$BD$21,IF(AM972=$BE$16,$BE$21,IF(AM972=$BF$16,$BF$21,IF(AM972=$BG$16,$BG$21))))),"")))))</f>
        <v>Moderado</v>
      </c>
      <c r="AO972" s="567" t="str">
        <f>IF(AP972="","",IF(AP972=[26]Listas!$F$61,[26]Listas!$G$61,IF(AP972=[26]Listas!$F$63,[26]Listas!$G$63,IF(AP972=[26]Listas!$F$64,[26]Listas!$G$64))))</f>
        <v>Requiere Plan de Acción</v>
      </c>
      <c r="AP972" s="570" t="str">
        <f>IF(AN972="","",IF(OR(AN972=[26]Listas!$E$61,AN972=[26]Listas!$E$62),[26]Listas!$F$61,IF(AN972=[26]Listas!$E$63,[26]Listas!$F$63,IF(AN972=[26]Listas!$E$64,[26]Listas!$F$64))))</f>
        <v>Aceptar o reducir el riesgo</v>
      </c>
      <c r="AQ972" s="342" t="s">
        <v>76</v>
      </c>
      <c r="AR972" s="119" t="s">
        <v>1059</v>
      </c>
    </row>
    <row r="973" spans="2:44" ht="15" hidden="1" customHeight="1" thickTop="1" thickBot="1" x14ac:dyDescent="0.4">
      <c r="B973" s="537"/>
      <c r="C973" s="559"/>
      <c r="D973" s="610"/>
      <c r="E973" s="577"/>
      <c r="F973" s="613"/>
      <c r="G973" s="616"/>
      <c r="H973" s="619"/>
      <c r="I973" s="589"/>
      <c r="J973" s="622"/>
      <c r="K973" s="592"/>
      <c r="L973" s="589"/>
      <c r="M973" s="595"/>
      <c r="N973" s="598"/>
      <c r="O973" s="601"/>
      <c r="P973" s="595"/>
      <c r="Q973" s="604"/>
      <c r="R973" s="601"/>
      <c r="S973" s="286"/>
      <c r="T973" s="604"/>
      <c r="U973" s="142" t="s">
        <v>174</v>
      </c>
      <c r="V973" s="421"/>
      <c r="W973" s="331"/>
      <c r="X973" s="320" t="str">
        <f>IF(W973=[26]Listas!$B$46,[26]Listas!$C$46,IF(W973=[26]Listas!$B$47,[26]Listas!$C$47,IF(W973=[26]Listas!$B$48,[26]Listas!$C$48,"")))</f>
        <v/>
      </c>
      <c r="Y973" s="321" t="str">
        <f>IF(OR(W973=[26]Listas!$F$53,W973=[26]Listas!$F$54),[26]Listas!$G$53,IF(W973=[26]Listas!$F$55,[26]Listas!$G$55,""))</f>
        <v/>
      </c>
      <c r="Z973" s="331"/>
      <c r="AA973" s="182" t="str">
        <f>+IF(Z973=[26]Listas!$E$46,[26]Listas!$F$46,IF(Z973=[26]Listas!$E$47,[26]Listas!$F$47,""))</f>
        <v/>
      </c>
      <c r="AB973" s="183" t="str">
        <f>IFERROR(X973+AA973,"")</f>
        <v/>
      </c>
      <c r="AC973" s="319"/>
      <c r="AD973" s="319"/>
      <c r="AE973" s="323"/>
      <c r="AF973" s="305" t="str">
        <f t="shared" si="149"/>
        <v>Media</v>
      </c>
      <c r="AG973" s="145">
        <f>IF(Y973=[26]Listas!$G$53,AG972-(AG972*AB973),AG972)</f>
        <v>0.42</v>
      </c>
      <c r="AH973" s="562"/>
      <c r="AI973" s="305" t="str">
        <f t="shared" ref="AI973:AI1001" si="150">IF(AJ973="","",IF(AJ973&lt;=20%,"Leve",IF(AJ973&lt;=40%,"Menor",IF(AJ973&lt;=60%,"Moderado",IF(AJ973&lt;=80%,"Mayor","Catastrófico")))))</f>
        <v>Moderado</v>
      </c>
      <c r="AJ973" s="145">
        <f>IF(Y973=[26]Listas!$G$55,AJ972-(AJ972*AB973),AJ972)</f>
        <v>0.6</v>
      </c>
      <c r="AK973" s="562"/>
      <c r="AL973" s="565"/>
      <c r="AM973" s="565"/>
      <c r="AN973" s="565"/>
      <c r="AO973" s="568"/>
      <c r="AP973" s="571"/>
      <c r="AQ973" s="343"/>
      <c r="AR973" s="191"/>
    </row>
    <row r="974" spans="2:44" ht="15" hidden="1" customHeight="1" thickTop="1" thickBot="1" x14ac:dyDescent="0.4">
      <c r="B974" s="537"/>
      <c r="C974" s="559"/>
      <c r="D974" s="610"/>
      <c r="E974" s="577"/>
      <c r="F974" s="613"/>
      <c r="G974" s="616"/>
      <c r="H974" s="619"/>
      <c r="I974" s="589"/>
      <c r="J974" s="622"/>
      <c r="K974" s="592"/>
      <c r="L974" s="589"/>
      <c r="M974" s="595"/>
      <c r="N974" s="598"/>
      <c r="O974" s="601"/>
      <c r="P974" s="595"/>
      <c r="Q974" s="604"/>
      <c r="R974" s="601"/>
      <c r="S974" s="287"/>
      <c r="T974" s="604"/>
      <c r="U974" s="142" t="s">
        <v>180</v>
      </c>
      <c r="V974" s="415"/>
      <c r="W974" s="331"/>
      <c r="X974" s="320" t="str">
        <f>IF(W974=[26]Listas!$B$46,[26]Listas!$C$46,IF(W974=[26]Listas!$B$47,[26]Listas!$C$47,IF(W974=[26]Listas!$B$48,[26]Listas!$C$48,"")))</f>
        <v/>
      </c>
      <c r="Y974" s="321" t="str">
        <f>IF(OR(W974=[26]Listas!$F$53,W974=[26]Listas!$F$54),[26]Listas!$G$53,IF(W974=[26]Listas!$F$55,[26]Listas!$G$55,""))</f>
        <v/>
      </c>
      <c r="Z974" s="331"/>
      <c r="AA974" s="182" t="str">
        <f>+IF(Z974=[26]Listas!$E$46,[26]Listas!$F$46,IF(Z974=[26]Listas!$E$47,[26]Listas!$F$47,""))</f>
        <v/>
      </c>
      <c r="AB974" s="183" t="str">
        <f>IFERROR(X974+AA974,"")</f>
        <v/>
      </c>
      <c r="AC974" s="319"/>
      <c r="AD974" s="319"/>
      <c r="AE974" s="323"/>
      <c r="AF974" s="305" t="str">
        <f t="shared" si="149"/>
        <v>Media</v>
      </c>
      <c r="AG974" s="145">
        <f>IF(Y974=[26]Listas!$G$53,AG973-(AG973*AB974),AG973)</f>
        <v>0.42</v>
      </c>
      <c r="AH974" s="562"/>
      <c r="AI974" s="305" t="str">
        <f t="shared" si="150"/>
        <v>Moderado</v>
      </c>
      <c r="AJ974" s="145">
        <f>IF(Y974=[26]Listas!$G$55,AJ973-(AJ973*AB974),AJ973)</f>
        <v>0.6</v>
      </c>
      <c r="AK974" s="562"/>
      <c r="AL974" s="565"/>
      <c r="AM974" s="565"/>
      <c r="AN974" s="565"/>
      <c r="AO974" s="568"/>
      <c r="AP974" s="571"/>
      <c r="AQ974" s="343"/>
      <c r="AR974" s="191"/>
    </row>
    <row r="975" spans="2:44" ht="15" hidden="1" customHeight="1" thickTop="1" thickBot="1" x14ac:dyDescent="0.4">
      <c r="B975" s="537"/>
      <c r="C975" s="559"/>
      <c r="D975" s="610"/>
      <c r="E975" s="577"/>
      <c r="F975" s="613"/>
      <c r="G975" s="616"/>
      <c r="H975" s="619"/>
      <c r="I975" s="589"/>
      <c r="J975" s="622"/>
      <c r="K975" s="592"/>
      <c r="L975" s="589"/>
      <c r="M975" s="595"/>
      <c r="N975" s="598"/>
      <c r="O975" s="601"/>
      <c r="P975" s="595"/>
      <c r="Q975" s="604"/>
      <c r="R975" s="601"/>
      <c r="S975" s="287"/>
      <c r="T975" s="604"/>
      <c r="U975" s="142" t="s">
        <v>190</v>
      </c>
      <c r="V975" s="415"/>
      <c r="W975" s="331"/>
      <c r="X975" s="320" t="str">
        <f>IF(W975=[26]Listas!$B$46,[26]Listas!$C$46,IF(W975=[26]Listas!$B$47,[26]Listas!$C$47,IF(W975=[26]Listas!$B$48,[26]Listas!$C$48,"")))</f>
        <v/>
      </c>
      <c r="Y975" s="321" t="str">
        <f>IF(OR(W975=[26]Listas!$F$53,W975=[26]Listas!$F$54),[26]Listas!$G$53,IF(W975=[26]Listas!$F$55,[26]Listas!$G$55,""))</f>
        <v/>
      </c>
      <c r="Z975" s="331"/>
      <c r="AA975" s="182" t="str">
        <f>+IF(Z975=[26]Listas!$E$46,[26]Listas!$F$46,IF(Z975=[26]Listas!$E$47,[26]Listas!$F$47,""))</f>
        <v/>
      </c>
      <c r="AB975" s="183" t="str">
        <f t="shared" ref="AB975:AB981" si="151">IFERROR(X975+AA975,"")</f>
        <v/>
      </c>
      <c r="AC975" s="319"/>
      <c r="AD975" s="319"/>
      <c r="AE975" s="323"/>
      <c r="AF975" s="305" t="str">
        <f t="shared" si="149"/>
        <v>Media</v>
      </c>
      <c r="AG975" s="145">
        <f>IF(Y975=[26]Listas!$G$53,AG974-(AG974*AB975),AG974)</f>
        <v>0.42</v>
      </c>
      <c r="AH975" s="562"/>
      <c r="AI975" s="305" t="str">
        <f t="shared" si="150"/>
        <v>Moderado</v>
      </c>
      <c r="AJ975" s="145">
        <f>IF(Y975=[26]Listas!$G$55,AJ974-(AJ974*AB975),AJ974)</f>
        <v>0.6</v>
      </c>
      <c r="AK975" s="562"/>
      <c r="AL975" s="565"/>
      <c r="AM975" s="565"/>
      <c r="AN975" s="565"/>
      <c r="AO975" s="568"/>
      <c r="AP975" s="571"/>
      <c r="AQ975" s="344"/>
      <c r="AR975" s="191"/>
    </row>
    <row r="976" spans="2:44" ht="15" hidden="1" customHeight="1" thickTop="1" thickBot="1" x14ac:dyDescent="0.4">
      <c r="B976" s="537"/>
      <c r="C976" s="559"/>
      <c r="D976" s="610"/>
      <c r="E976" s="577"/>
      <c r="F976" s="613"/>
      <c r="G976" s="616"/>
      <c r="H976" s="619"/>
      <c r="I976" s="589"/>
      <c r="J976" s="622"/>
      <c r="K976" s="592"/>
      <c r="L976" s="589"/>
      <c r="M976" s="595"/>
      <c r="N976" s="598"/>
      <c r="O976" s="601"/>
      <c r="P976" s="595"/>
      <c r="Q976" s="604"/>
      <c r="R976" s="601"/>
      <c r="S976" s="287"/>
      <c r="T976" s="604"/>
      <c r="U976" s="142" t="s">
        <v>198</v>
      </c>
      <c r="V976" s="415"/>
      <c r="W976" s="331"/>
      <c r="X976" s="320" t="str">
        <f>IF(W976=[26]Listas!$B$46,[26]Listas!$C$46,IF(W976=[26]Listas!$B$47,[26]Listas!$C$47,IF(W976=[26]Listas!$B$48,[26]Listas!$C$48,"")))</f>
        <v/>
      </c>
      <c r="Y976" s="321" t="str">
        <f>IF(OR(W976=[26]Listas!$F$53,W976=[26]Listas!$F$54),[26]Listas!$G$53,IF(W976=[26]Listas!$F$55,[26]Listas!$G$55,""))</f>
        <v/>
      </c>
      <c r="Z976" s="331"/>
      <c r="AA976" s="182" t="str">
        <f>+IF(Z976=[26]Listas!$E$46,[26]Listas!$F$46,IF(Z976=[26]Listas!$E$47,[26]Listas!$F$47,""))</f>
        <v/>
      </c>
      <c r="AB976" s="183" t="str">
        <f t="shared" si="151"/>
        <v/>
      </c>
      <c r="AC976" s="319"/>
      <c r="AD976" s="319"/>
      <c r="AE976" s="323"/>
      <c r="AF976" s="305" t="str">
        <f t="shared" si="149"/>
        <v>Media</v>
      </c>
      <c r="AG976" s="145">
        <f>IF(Y976=[26]Listas!$G$53,AG975-(AG975*AB976),AG975)</f>
        <v>0.42</v>
      </c>
      <c r="AH976" s="562"/>
      <c r="AI976" s="305" t="str">
        <f t="shared" si="150"/>
        <v>Moderado</v>
      </c>
      <c r="AJ976" s="145">
        <f>IF(Y976=[26]Listas!$G$55,AJ975-(AJ975*AB976),AJ975)</f>
        <v>0.6</v>
      </c>
      <c r="AK976" s="562"/>
      <c r="AL976" s="565"/>
      <c r="AM976" s="565"/>
      <c r="AN976" s="565"/>
      <c r="AO976" s="568"/>
      <c r="AP976" s="571"/>
      <c r="AQ976" s="343"/>
      <c r="AR976" s="191"/>
    </row>
    <row r="977" spans="2:44" ht="15.75" hidden="1" customHeight="1" thickTop="1" thickBot="1" x14ac:dyDescent="0.4">
      <c r="B977" s="537"/>
      <c r="C977" s="559"/>
      <c r="D977" s="610"/>
      <c r="E977" s="577"/>
      <c r="F977" s="613"/>
      <c r="G977" s="616"/>
      <c r="H977" s="619"/>
      <c r="I977" s="589"/>
      <c r="J977" s="622"/>
      <c r="K977" s="592"/>
      <c r="L977" s="589"/>
      <c r="M977" s="595"/>
      <c r="N977" s="598"/>
      <c r="O977" s="601"/>
      <c r="P977" s="595"/>
      <c r="Q977" s="604"/>
      <c r="R977" s="601"/>
      <c r="S977" s="288"/>
      <c r="T977" s="604"/>
      <c r="U977" s="142" t="s">
        <v>208</v>
      </c>
      <c r="V977" s="415"/>
      <c r="W977" s="331"/>
      <c r="X977" s="320" t="str">
        <f>IF(W977=[26]Listas!$B$46,[26]Listas!$C$46,IF(W977=[26]Listas!$B$47,[26]Listas!$C$47,IF(W977=[26]Listas!$B$48,[26]Listas!$C$48,"")))</f>
        <v/>
      </c>
      <c r="Y977" s="321" t="str">
        <f>IF(OR(W977=[26]Listas!$F$53,W977=[26]Listas!$F$54),[26]Listas!$G$53,IF(W977=[26]Listas!$F$55,[26]Listas!$G$55,""))</f>
        <v/>
      </c>
      <c r="Z977" s="331"/>
      <c r="AA977" s="182" t="str">
        <f>+IF(Z977=[26]Listas!$E$46,[26]Listas!$F$46,IF(Z977=[26]Listas!$E$47,[26]Listas!$F$47,""))</f>
        <v/>
      </c>
      <c r="AB977" s="183" t="str">
        <f t="shared" si="151"/>
        <v/>
      </c>
      <c r="AC977" s="319"/>
      <c r="AD977" s="319"/>
      <c r="AE977" s="323"/>
      <c r="AF977" s="305" t="str">
        <f t="shared" si="149"/>
        <v>Media</v>
      </c>
      <c r="AG977" s="145">
        <f>IF(Y977=[26]Listas!$G$53,AG976-(AG976*AB977),AG976)</f>
        <v>0.42</v>
      </c>
      <c r="AH977" s="562"/>
      <c r="AI977" s="305" t="str">
        <f t="shared" si="150"/>
        <v>Moderado</v>
      </c>
      <c r="AJ977" s="145">
        <f>IF(Y977=[26]Listas!$G$55,AJ976-(AJ976*AB977),AJ976)</f>
        <v>0.6</v>
      </c>
      <c r="AK977" s="562"/>
      <c r="AL977" s="565"/>
      <c r="AM977" s="565"/>
      <c r="AN977" s="565"/>
      <c r="AO977" s="568"/>
      <c r="AP977" s="571"/>
      <c r="AQ977" s="344"/>
      <c r="AR977" s="191"/>
    </row>
    <row r="978" spans="2:44" ht="15" hidden="1" customHeight="1" thickTop="1" thickBot="1" x14ac:dyDescent="0.4">
      <c r="B978" s="537"/>
      <c r="C978" s="559"/>
      <c r="D978" s="610"/>
      <c r="E978" s="577"/>
      <c r="F978" s="613"/>
      <c r="G978" s="616"/>
      <c r="H978" s="619"/>
      <c r="I978" s="589"/>
      <c r="J978" s="622"/>
      <c r="K978" s="592"/>
      <c r="L978" s="589"/>
      <c r="M978" s="595"/>
      <c r="N978" s="598"/>
      <c r="O978" s="601"/>
      <c r="P978" s="595"/>
      <c r="Q978" s="604"/>
      <c r="R978" s="601"/>
      <c r="S978" s="289"/>
      <c r="T978" s="604"/>
      <c r="U978" s="142" t="s">
        <v>215</v>
      </c>
      <c r="V978" s="418"/>
      <c r="W978" s="331"/>
      <c r="X978" s="320" t="str">
        <f>IF(W978=[26]Listas!$B$46,[26]Listas!$C$46,IF(W978=[26]Listas!$B$47,[26]Listas!$C$47,IF(W978=[26]Listas!$B$48,[26]Listas!$C$48,"")))</f>
        <v/>
      </c>
      <c r="Y978" s="321" t="str">
        <f>IF(OR(W978=[26]Listas!$F$53,W978=[26]Listas!$F$54),[26]Listas!$G$53,IF(W978=[26]Listas!$F$55,[26]Listas!$G$55,""))</f>
        <v/>
      </c>
      <c r="Z978" s="331"/>
      <c r="AA978" s="182" t="str">
        <f>+IF(Z978=[26]Listas!$E$46,[26]Listas!$F$46,IF(Z978=[26]Listas!$E$47,[26]Listas!$F$47,""))</f>
        <v/>
      </c>
      <c r="AB978" s="183" t="str">
        <f t="shared" si="151"/>
        <v/>
      </c>
      <c r="AC978" s="319"/>
      <c r="AD978" s="322"/>
      <c r="AE978" s="323"/>
      <c r="AF978" s="305" t="str">
        <f t="shared" si="149"/>
        <v>Media</v>
      </c>
      <c r="AG978" s="145">
        <f>IF(Y978=[26]Listas!$G$53,AG977-(AG977*AB978),AG977)</f>
        <v>0.42</v>
      </c>
      <c r="AH978" s="562"/>
      <c r="AI978" s="305" t="str">
        <f t="shared" si="150"/>
        <v>Moderado</v>
      </c>
      <c r="AJ978" s="145">
        <f>IF(Y978=[26]Listas!$G$55,AJ977-(AJ977*AB978),AJ977)</f>
        <v>0.6</v>
      </c>
      <c r="AK978" s="562"/>
      <c r="AL978" s="565"/>
      <c r="AM978" s="565"/>
      <c r="AN978" s="565"/>
      <c r="AO978" s="568"/>
      <c r="AP978" s="571"/>
      <c r="AQ978" s="345"/>
      <c r="AR978" s="191"/>
    </row>
    <row r="979" spans="2:44" ht="15" hidden="1" customHeight="1" thickTop="1" thickBot="1" x14ac:dyDescent="0.4">
      <c r="B979" s="537"/>
      <c r="C979" s="559"/>
      <c r="D979" s="610"/>
      <c r="E979" s="577"/>
      <c r="F979" s="613"/>
      <c r="G979" s="616"/>
      <c r="H979" s="619"/>
      <c r="I979" s="589"/>
      <c r="J979" s="622"/>
      <c r="K979" s="592"/>
      <c r="L979" s="589"/>
      <c r="M979" s="595"/>
      <c r="N979" s="598"/>
      <c r="O979" s="601"/>
      <c r="P979" s="595"/>
      <c r="Q979" s="604"/>
      <c r="R979" s="601"/>
      <c r="S979" s="289"/>
      <c r="T979" s="604"/>
      <c r="U979" s="142" t="s">
        <v>220</v>
      </c>
      <c r="V979" s="418"/>
      <c r="W979" s="331"/>
      <c r="X979" s="320" t="str">
        <f>IF(W979=[26]Listas!$B$46,[26]Listas!$C$46,IF(W979=[26]Listas!$B$47,[26]Listas!$C$47,IF(W979=[26]Listas!$B$48,[26]Listas!$C$48,"")))</f>
        <v/>
      </c>
      <c r="Y979" s="321" t="str">
        <f>IF(OR(W979=[26]Listas!$F$53,W979=[26]Listas!$F$54),[26]Listas!$G$53,IF(W979=[26]Listas!$F$55,[26]Listas!$G$55,""))</f>
        <v/>
      </c>
      <c r="Z979" s="331"/>
      <c r="AA979" s="182" t="str">
        <f>+IF(Z979=[26]Listas!$E$46,[26]Listas!$F$46,IF(Z979=[26]Listas!$E$47,[26]Listas!$F$47,""))</f>
        <v/>
      </c>
      <c r="AB979" s="183" t="str">
        <f t="shared" si="151"/>
        <v/>
      </c>
      <c r="AC979" s="319"/>
      <c r="AD979" s="322"/>
      <c r="AE979" s="323"/>
      <c r="AF979" s="305" t="str">
        <f t="shared" si="149"/>
        <v>Media</v>
      </c>
      <c r="AG979" s="145">
        <f>IF(Y979=[26]Listas!$G$53,AG978-(AG978*AB979),AG978)</f>
        <v>0.42</v>
      </c>
      <c r="AH979" s="562"/>
      <c r="AI979" s="305" t="str">
        <f t="shared" si="150"/>
        <v>Moderado</v>
      </c>
      <c r="AJ979" s="145">
        <f>IF(Y979=[26]Listas!$G$55,AJ978-(AJ978*AB979),AJ978)</f>
        <v>0.6</v>
      </c>
      <c r="AK979" s="562"/>
      <c r="AL979" s="565"/>
      <c r="AM979" s="565"/>
      <c r="AN979" s="565"/>
      <c r="AO979" s="568"/>
      <c r="AP979" s="571"/>
      <c r="AQ979" s="343"/>
      <c r="AR979" s="191"/>
    </row>
    <row r="980" spans="2:44" ht="15" hidden="1" customHeight="1" thickTop="1" thickBot="1" x14ac:dyDescent="0.4">
      <c r="B980" s="537"/>
      <c r="C980" s="559"/>
      <c r="D980" s="610"/>
      <c r="E980" s="577"/>
      <c r="F980" s="613"/>
      <c r="G980" s="616"/>
      <c r="H980" s="619"/>
      <c r="I980" s="589"/>
      <c r="J980" s="622"/>
      <c r="K980" s="592"/>
      <c r="L980" s="589"/>
      <c r="M980" s="595"/>
      <c r="N980" s="598"/>
      <c r="O980" s="601"/>
      <c r="P980" s="595"/>
      <c r="Q980" s="604"/>
      <c r="R980" s="601"/>
      <c r="S980" s="289"/>
      <c r="T980" s="604"/>
      <c r="U980" s="142" t="s">
        <v>223</v>
      </c>
      <c r="V980" s="418"/>
      <c r="W980" s="331"/>
      <c r="X980" s="320" t="str">
        <f>IF(W980=[26]Listas!$B$46,[26]Listas!$C$46,IF(W980=[26]Listas!$B$47,[26]Listas!$C$47,IF(W980=[26]Listas!$B$48,[26]Listas!$C$48,"")))</f>
        <v/>
      </c>
      <c r="Y980" s="321" t="str">
        <f>IF(OR(W980=[26]Listas!$F$53,W980=[26]Listas!$F$54),[26]Listas!$G$53,IF(W980=[26]Listas!$F$55,[26]Listas!$G$55,""))</f>
        <v/>
      </c>
      <c r="Z980" s="331"/>
      <c r="AA980" s="182" t="str">
        <f>+IF(Z980=[26]Listas!$E$46,[26]Listas!$F$46,IF(Z980=[26]Listas!$E$47,[26]Listas!$F$47,""))</f>
        <v/>
      </c>
      <c r="AB980" s="183" t="str">
        <f t="shared" si="151"/>
        <v/>
      </c>
      <c r="AC980" s="319"/>
      <c r="AD980" s="322"/>
      <c r="AE980" s="323"/>
      <c r="AF980" s="305" t="str">
        <f t="shared" si="149"/>
        <v>Media</v>
      </c>
      <c r="AG980" s="145">
        <f>IF(Y980=[26]Listas!$G$53,AG979-(AG979*AB980),AG979)</f>
        <v>0.42</v>
      </c>
      <c r="AH980" s="562"/>
      <c r="AI980" s="305" t="str">
        <f t="shared" si="150"/>
        <v>Moderado</v>
      </c>
      <c r="AJ980" s="145">
        <f>IF(Y980=[26]Listas!$G$55,AJ979-(AJ979*AB980),AJ979)</f>
        <v>0.6</v>
      </c>
      <c r="AK980" s="562"/>
      <c r="AL980" s="565"/>
      <c r="AM980" s="565"/>
      <c r="AN980" s="565"/>
      <c r="AO980" s="568"/>
      <c r="AP980" s="571"/>
      <c r="AQ980" s="344"/>
      <c r="AR980" s="191"/>
    </row>
    <row r="981" spans="2:44" ht="15.75" hidden="1" customHeight="1" thickTop="1" thickBot="1" x14ac:dyDescent="0.4">
      <c r="B981" s="537"/>
      <c r="C981" s="559"/>
      <c r="D981" s="611"/>
      <c r="E981" s="578"/>
      <c r="F981" s="614"/>
      <c r="G981" s="617"/>
      <c r="H981" s="620"/>
      <c r="I981" s="590"/>
      <c r="J981" s="623"/>
      <c r="K981" s="593"/>
      <c r="L981" s="590"/>
      <c r="M981" s="596"/>
      <c r="N981" s="599"/>
      <c r="O981" s="602"/>
      <c r="P981" s="596"/>
      <c r="Q981" s="605"/>
      <c r="R981" s="602"/>
      <c r="S981" s="293"/>
      <c r="T981" s="605"/>
      <c r="U981" s="202" t="s">
        <v>224</v>
      </c>
      <c r="V981" s="416"/>
      <c r="W981" s="335"/>
      <c r="X981" s="336" t="str">
        <f>IF(W981=[26]Listas!$B$46,[26]Listas!$C$46,IF(W981=[26]Listas!$B$47,[26]Listas!$C$47,IF(W981=[26]Listas!$B$48,[26]Listas!$C$48,"")))</f>
        <v/>
      </c>
      <c r="Y981" s="337" t="str">
        <f>IF(OR(W981=[26]Listas!$F$53,W981=[26]Listas!$F$54),[26]Listas!$G$53,IF(W981=[26]Listas!$F$55,[26]Listas!$G$55,""))</f>
        <v/>
      </c>
      <c r="Z981" s="335"/>
      <c r="AA981" s="186" t="str">
        <f>+IF(Z981=[26]Listas!$E$46,[26]Listas!$F$46,IF(Z981=[26]Listas!$E$47,[26]Listas!$F$47,""))</f>
        <v/>
      </c>
      <c r="AB981" s="187" t="str">
        <f t="shared" si="151"/>
        <v/>
      </c>
      <c r="AC981" s="338"/>
      <c r="AD981" s="339"/>
      <c r="AE981" s="340"/>
      <c r="AF981" s="311" t="str">
        <f t="shared" si="149"/>
        <v>Media</v>
      </c>
      <c r="AG981" s="179">
        <f>IF(Y981=[26]Listas!$G$53,AG980-(AG980*AB981),AG980)</f>
        <v>0.42</v>
      </c>
      <c r="AH981" s="563"/>
      <c r="AI981" s="311" t="str">
        <f t="shared" si="150"/>
        <v>Moderado</v>
      </c>
      <c r="AJ981" s="179">
        <f>IF(Y981=[26]Listas!$G$55,AJ980-(AJ980*AB981),AJ980)</f>
        <v>0.6</v>
      </c>
      <c r="AK981" s="563"/>
      <c r="AL981" s="566"/>
      <c r="AM981" s="566"/>
      <c r="AN981" s="566"/>
      <c r="AO981" s="569"/>
      <c r="AP981" s="572"/>
      <c r="AQ981" s="346"/>
      <c r="AR981" s="192"/>
    </row>
    <row r="982" spans="2:44" ht="57" thickTop="1" thickBot="1" x14ac:dyDescent="0.4">
      <c r="B982" s="537"/>
      <c r="C982" s="559"/>
      <c r="D982" s="609" t="s">
        <v>1060</v>
      </c>
      <c r="E982" s="576" t="s">
        <v>4</v>
      </c>
      <c r="F982" s="612" t="s">
        <v>1061</v>
      </c>
      <c r="G982" s="615" t="s">
        <v>1062</v>
      </c>
      <c r="H982" s="618" t="s">
        <v>1062</v>
      </c>
      <c r="I982" s="588" t="s">
        <v>20</v>
      </c>
      <c r="J982" s="621" t="s">
        <v>1056</v>
      </c>
      <c r="K982" s="591" t="s">
        <v>1057</v>
      </c>
      <c r="L982" s="588" t="s">
        <v>168</v>
      </c>
      <c r="M982" s="594" t="s">
        <v>214</v>
      </c>
      <c r="N982" s="597" t="str">
        <f>+IF(M982="","",IF(M982=$BO$15,$BN$15,IF(M982=$BO$16,$BN$16,IF(M982=$BO$17,$BN$17,IF(M982=$BO$18,$BN$18,IF(M982=$BO$19,$BN$19))))))</f>
        <v>Media</v>
      </c>
      <c r="O982" s="600">
        <f>+IF(M982="","",IF(M982=$BO$15,$BR$15,IF(M982=$BO$16,$BR$16,IF(M982=$BO$17,$BR$17,IF(M982=$BO$18,$BR$18,IF(M982=$BO$19,$BR$19))))))</f>
        <v>0.6</v>
      </c>
      <c r="P982" s="594" t="s">
        <v>195</v>
      </c>
      <c r="Q982" s="603" t="str">
        <f>+IF(P982="","",IF(P982='[26]Mapa de Calor inherente'!$AF$6,'[26]Mapa de Calor inherente'!$AD$6,IF(P982='[26]Mapa de Calor inherente'!$AF$7,'[26]Mapa de Calor inherente'!$AD$7,IF(P982='[26]Mapa de Calor inherente'!$AF$8,'[26]Mapa de Calor inherente'!$AD$8,IF(P982='[26]Mapa de Calor inherente'!$AF$9,'[26]Mapa de Calor inherente'!$AD$9,IF(P982='[26]Mapa de Calor inherente'!$AF$10,'[26]Mapa de Calor inherente'!$AD$10,IF(P982='[26]Mapa de Calor inherente'!$AG$6,'[26]Mapa de Calor inherente'!$AD$6,IF(P982='[26]Mapa de Calor inherente'!$AG$7,'[26]Mapa de Calor inherente'!$AD$7,IF(P982='[26]Mapa de Calor inherente'!$AG$8,'[26]Mapa de Calor inherente'!$AD$8,IF(P982='[26]Mapa de Calor inherente'!$AG$9,'[26]Mapa de Calor inherente'!$AD$9,IF(P982='[26]Mapa de Calor inherente'!$AG$10,'[26]Mapa de Calor inherente'!$AD$10,IF(P982='[26]Mapa de Calor inherente'!$AD$8,'[26]Mapa de Calor inherente'!$AD$8,IF(P982='[26]Mapa de Calor inherente'!$AD$9,'[26]Mapa de Calor inherente'!$AD$9,IF(P982='[26]Mapa de Calor inherente'!$AD$10,'[26]Mapa de Calor inherente'!$AD$10))))))))))))))</f>
        <v>Leve</v>
      </c>
      <c r="R982" s="600">
        <f>+IF(P982="","",IF(P982='[26]Mapa de Calor inherente'!$AF$6,'[26]Mapa de Calor inherente'!$AE$6,IF(P982='[26]Mapa de Calor inherente'!$AF$7,'[26]Mapa de Calor inherente'!$AE$7,IF(P982='[26]Mapa de Calor inherente'!$AF$8,'[26]Mapa de Calor inherente'!$AE$8,IF(P982='[26]Mapa de Calor inherente'!$AF$9,'[26]Mapa de Calor inherente'!$AE$9,IF(P982='[26]Mapa de Calor inherente'!$AF$10,'[26]Mapa de Calor inherente'!$AE$10,IF(P982='[26]Mapa de Calor inherente'!$AG$6,'[26]Mapa de Calor inherente'!$AE$6,IF(P982='[26]Mapa de Calor inherente'!$AG$7,'[26]Mapa de Calor inherente'!$AE$7,IF(P982='[26]Mapa de Calor inherente'!$AG$8,'[26]Mapa de Calor inherente'!$AE$8,IF(P982='[26]Mapa de Calor inherente'!$AG$9,'[26]Mapa de Calor inherente'!$AE$9,IF(P982='[26]Mapa de Calor inherente'!$AG$10,'[26]Mapa de Calor inherente'!$AE$10,IF(P982='[26]Mapa de Calor inherente'!$AD$8,'[26]Mapa de Calor inherente'!$AE$8,IF(P982='[26]Mapa de Calor inherente'!$AD$9,'[26]Mapa de Calor inherente'!$AE$9,IF(P982='[26]Mapa de Calor inherente'!$AD$10,'[26]Mapa de Calor inherente'!$AE$10))))))))))))))</f>
        <v>0.2</v>
      </c>
      <c r="S982" s="292"/>
      <c r="T982" s="603" t="str">
        <f>+IF(N982=$BB$17,IF(Q982=$BC$16,$BC$17,IF(Q982=$BD$16,$BD$17,IF(Q982=$BE$16,$BE$17,IF(Q982=$BF$16,$BF$17,IF(Q982=$BG$16,$BG$17))))),IF(N982=$BB$18,IF(Q982=$BC$16,$BC$18,IF(Q982=$BD$16,$BD$18,IF(Q982=$BE$16,$BE$18,IF(Q982=$BF$16,$BF$18,IF(Q982=$BG$16,$BG$18))))),IF(N982=$BB$19,IF(Q982=$BC$16,$BC$19,IF(Q982=$BD$16,$BD$19,IF(Q982=$BE$16,$BE$19,IF(Q982=$BF$16,$BF$19,IF(Q982=$BG$16,$BG$19))))),IF(N982=$BB$20,IF(Q982=$BC$16,$BC$20,IF(Q982=$BD$16,$BD$20,IF(Q982=$BE$16,$BE$20,IF(Q982=$BF$16,$BF$20,IF(Q982=$BG$16,$BG$20))))),IF(N982=$BB$21,IF(Q982=$BC$16,$BC$21,IF(Q982=$BD$16,$BD$21,IF(Q982=$BE$16,$BE$21,IF(Q982=$BF$16,$BF$21,IF(Q982=$BG$16,$BG$21))))),"")))))</f>
        <v>Moderado</v>
      </c>
      <c r="U982" s="139" t="s">
        <v>171</v>
      </c>
      <c r="V982" s="455" t="s">
        <v>1063</v>
      </c>
      <c r="W982" s="313" t="s">
        <v>40</v>
      </c>
      <c r="X982" s="314">
        <f>IF(W982=[26]Listas!$B$46,[26]Listas!$C$46,IF(W982=[26]Listas!$B$47,[26]Listas!$C$47,IF(W982=[26]Listas!$B$48,[26]Listas!$C$48,"")))</f>
        <v>0.25</v>
      </c>
      <c r="Y982" s="315" t="str">
        <f>IF(OR(W982=[26]Listas!$F$53,W982=[26]Listas!$F$54),[26]Listas!$G$53,IF(W982=[26]Listas!$F$55,[26]Listas!$G$55,""))</f>
        <v>Probabilidad</v>
      </c>
      <c r="Z982" s="313" t="s">
        <v>43</v>
      </c>
      <c r="AA982" s="314">
        <f>+IF(Z982=[26]Listas!$E$46,[26]Listas!$F$46,IF(Z982=[26]Listas!$E$47,[26]Listas!$F$47,""))</f>
        <v>0.15</v>
      </c>
      <c r="AB982" s="181">
        <f>IFERROR(X982+AA982,"")</f>
        <v>0.4</v>
      </c>
      <c r="AC982" s="313" t="s">
        <v>64</v>
      </c>
      <c r="AD982" s="316" t="s">
        <v>58</v>
      </c>
      <c r="AE982" s="317" t="s">
        <v>59</v>
      </c>
      <c r="AF982" s="299" t="str">
        <f t="shared" si="149"/>
        <v>Baja</v>
      </c>
      <c r="AG982" s="141">
        <f>IF(Y982=[26]Listas!$G$53,O982-(O982*AB982),O982)</f>
        <v>0.36</v>
      </c>
      <c r="AH982" s="561">
        <f>+IF(AG991="","",AG991)</f>
        <v>0.36</v>
      </c>
      <c r="AI982" s="299" t="str">
        <f>IF(AJ982="","",IF(AJ982&lt;=20%,"Leve",IF(AJ982&lt;=40%,"Menor",IF(AJ982&lt;=60%,"Moderado",IF(AJ982&lt;=80%,"Mayor","Catastrófico")))))</f>
        <v>Leve</v>
      </c>
      <c r="AJ982" s="141">
        <f>IF(Y982=[26]Listas!$G$55,R982-(R982*AB982),R982)</f>
        <v>0.2</v>
      </c>
      <c r="AK982" s="561">
        <f>+IF(AJ991="","",AJ991)</f>
        <v>0.2</v>
      </c>
      <c r="AL982" s="564" t="str">
        <f>+IF(AH982=0,"",IF(AH982&lt;=$BA$21,$BB$21,IF(AH982&lt;=$BA$20,$BB$20,IF(AH982&lt;=$BA$19,$BB$19,IF(AH982&lt;=$BA$18,$BB$18,IF(AH982&lt;=$BA$17,$BB$17,""))))))</f>
        <v>Baja</v>
      </c>
      <c r="AM982" s="564" t="str">
        <f>+IF(AK982=0,"",IF(AK982&lt;=$BC$15,$BC$16,IF(AK982&lt;=$BD$15,$BD$16,IF(AK982&lt;=$BE$15,$BE$16,IF(AK982&lt;=$BF$15,$BF$16,IF(AK982&lt;=$BG$15,$BG$16,""))))))</f>
        <v>Leve</v>
      </c>
      <c r="AN982" s="564" t="str">
        <f>IF(AL982=$BB$17,IF(AM982=$BC$16,$BC$17,IF(AM982=$BD$16,$BD$17,IF(AM982=$BE$16,$BE$17,IF(AM982=$BF$16,$BF$17,IF(AM982=$BG$16,$BG$17))))),IF(AL982=$BB$18,IF(AM982=$BC$16,$BC$18,IF(AM982=$BD$16,$BD$18,IF(AM982=$BE$16,$BE$18,IF(AM982=$BF$16,$BF$18,IF(AM982=$BG$16,$BG$18))))),IF(AL982=$BB$19,IF(AM982=$BC$16,$BC$19,IF(AM982=$BD$16,$BD$19,IF(AM982=$BE$16,$BE$19,IF(AM982=$BF$16,$BF$19,IF(AM982=$BG$16,$BG$19))))),IF(AL982=$BB$20,IF(AM982=$BC$16,$BC$20,IF(AM982=$BD$16,$BD$20,IF(AM982=$BE$16,$BE$20,IF(AM982=$BF$16,$BF$20,IF(AM982=$BG$16,$BG$20))))),IF(AL982=$BB$21,IF(AM982=$BC$16,$BC$21,IF(AM982=$BD$16,$BD$21,IF(AM982=$BE$16,$BE$21,IF(AM982=$BF$16,$BF$21,IF(AM982=$BG$16,$BG$21))))),"")))))</f>
        <v>Bajo</v>
      </c>
      <c r="AO982" s="567" t="str">
        <f>IF(AP982="","",IF(AP982=[26]Listas!$F$61,[26]Listas!$G$61,IF(AP982=[26]Listas!$F$63,[26]Listas!$G$63,IF(AP982=[26]Listas!$F$64,[26]Listas!$G$64))))</f>
        <v>No requiere Plan de Acción</v>
      </c>
      <c r="AP982" s="570" t="str">
        <f>IF(AN982="","",IF(OR(AN982=[26]Listas!$E$61,AN982=[26]Listas!$E$62),[26]Listas!$F$61,IF(AN982=[26]Listas!$E$63,[26]Listas!$F$63,IF(AN982=[26]Listas!$E$64,[26]Listas!$F$64))))</f>
        <v>Aceptar  el riesgo</v>
      </c>
      <c r="AQ982" s="347" t="s">
        <v>76</v>
      </c>
      <c r="AR982" s="275" t="s">
        <v>1063</v>
      </c>
    </row>
    <row r="983" spans="2:44" ht="15.65" hidden="1" customHeight="1" x14ac:dyDescent="0.35">
      <c r="B983" s="537"/>
      <c r="C983" s="559"/>
      <c r="D983" s="610"/>
      <c r="E983" s="577"/>
      <c r="F983" s="613"/>
      <c r="G983" s="616"/>
      <c r="H983" s="619"/>
      <c r="I983" s="589"/>
      <c r="J983" s="622"/>
      <c r="K983" s="592"/>
      <c r="L983" s="589"/>
      <c r="M983" s="595"/>
      <c r="N983" s="598"/>
      <c r="O983" s="601"/>
      <c r="P983" s="595"/>
      <c r="Q983" s="604"/>
      <c r="R983" s="601"/>
      <c r="S983" s="286"/>
      <c r="T983" s="604"/>
      <c r="U983" s="142" t="s">
        <v>174</v>
      </c>
      <c r="V983" s="415"/>
      <c r="W983" s="319"/>
      <c r="X983" s="320" t="str">
        <f>IF(W983=[26]Listas!$B$46,[26]Listas!$C$46,IF(W983=[26]Listas!$B$47,[26]Listas!$C$47,IF(W983=[26]Listas!$B$48,[26]Listas!$C$48,"")))</f>
        <v/>
      </c>
      <c r="Y983" s="321" t="str">
        <f>IF(OR(W983=[26]Listas!$F$53,W983=[26]Listas!$F$54),[26]Listas!$G$53,IF(W983=[26]Listas!$F$55,[26]Listas!$G$55,""))</f>
        <v/>
      </c>
      <c r="Z983" s="319"/>
      <c r="AA983" s="182" t="str">
        <f>+IF(Z983=[26]Listas!$E$46,[26]Listas!$F$46,IF(Z983=[26]Listas!$E$47,[26]Listas!$F$47,""))</f>
        <v/>
      </c>
      <c r="AB983" s="183" t="str">
        <f>IFERROR(X983+AA983,"")</f>
        <v/>
      </c>
      <c r="AC983" s="319"/>
      <c r="AD983" s="322"/>
      <c r="AE983" s="323"/>
      <c r="AF983" s="305" t="str">
        <f t="shared" si="149"/>
        <v>Baja</v>
      </c>
      <c r="AG983" s="145">
        <f>IF(Y983=[26]Listas!$G$53,AG982-(AG982*AB983),AG982)</f>
        <v>0.36</v>
      </c>
      <c r="AH983" s="562"/>
      <c r="AI983" s="305" t="str">
        <f t="shared" si="150"/>
        <v>Leve</v>
      </c>
      <c r="AJ983" s="145">
        <f>IF(Y983=[26]Listas!$G$55,AJ982-(AJ982*AB983),AJ982)</f>
        <v>0.2</v>
      </c>
      <c r="AK983" s="562"/>
      <c r="AL983" s="565"/>
      <c r="AM983" s="565"/>
      <c r="AN983" s="565"/>
      <c r="AO983" s="568"/>
      <c r="AP983" s="571"/>
      <c r="AQ983" s="344"/>
      <c r="AR983" s="276"/>
    </row>
    <row r="984" spans="2:44" ht="15.65" hidden="1" customHeight="1" thickTop="1" x14ac:dyDescent="0.35">
      <c r="B984" s="537"/>
      <c r="C984" s="559"/>
      <c r="D984" s="610"/>
      <c r="E984" s="577"/>
      <c r="F984" s="613"/>
      <c r="G984" s="616"/>
      <c r="H984" s="619"/>
      <c r="I984" s="589"/>
      <c r="J984" s="622"/>
      <c r="K984" s="592"/>
      <c r="L984" s="589"/>
      <c r="M984" s="595"/>
      <c r="N984" s="598"/>
      <c r="O984" s="601"/>
      <c r="P984" s="595"/>
      <c r="Q984" s="604"/>
      <c r="R984" s="601"/>
      <c r="S984" s="287"/>
      <c r="T984" s="604"/>
      <c r="U984" s="142" t="s">
        <v>180</v>
      </c>
      <c r="V984" s="415"/>
      <c r="W984" s="319"/>
      <c r="X984" s="320" t="str">
        <f>IF(W984=[26]Listas!$B$46,[26]Listas!$C$46,IF(W984=[26]Listas!$B$47,[26]Listas!$C$47,IF(W984=[26]Listas!$B$48,[26]Listas!$C$48,"")))</f>
        <v/>
      </c>
      <c r="Y984" s="321" t="str">
        <f>IF(OR(W984=[26]Listas!$F$53,W984=[26]Listas!$F$54),[26]Listas!$G$53,IF(W984=[26]Listas!$F$55,[26]Listas!$G$55,""))</f>
        <v/>
      </c>
      <c r="Z984" s="319"/>
      <c r="AA984" s="182" t="str">
        <f>+IF(Z984=[26]Listas!$E$46,[26]Listas!$F$46,IF(Z984=[26]Listas!$E$47,[26]Listas!$F$47,""))</f>
        <v/>
      </c>
      <c r="AB984" s="183" t="str">
        <f>IFERROR(X984+AA984,"")</f>
        <v/>
      </c>
      <c r="AC984" s="319"/>
      <c r="AD984" s="322"/>
      <c r="AE984" s="323"/>
      <c r="AF984" s="305" t="str">
        <f t="shared" si="149"/>
        <v>Baja</v>
      </c>
      <c r="AG984" s="145">
        <f>IF(Y984=[26]Listas!$G$53,AG983-(AG983*AB984),AG983)</f>
        <v>0.36</v>
      </c>
      <c r="AH984" s="562"/>
      <c r="AI984" s="305" t="str">
        <f t="shared" si="150"/>
        <v>Leve</v>
      </c>
      <c r="AJ984" s="145">
        <f>IF(Y984=[26]Listas!$G$55,AJ983-(AJ983*AB984),AJ983)</f>
        <v>0.2</v>
      </c>
      <c r="AK984" s="562"/>
      <c r="AL984" s="565"/>
      <c r="AM984" s="565"/>
      <c r="AN984" s="565"/>
      <c r="AO984" s="568"/>
      <c r="AP984" s="571"/>
      <c r="AQ984" s="344"/>
      <c r="AR984" s="276"/>
    </row>
    <row r="985" spans="2:44" ht="15.65" hidden="1" customHeight="1" thickTop="1" x14ac:dyDescent="0.35">
      <c r="B985" s="537"/>
      <c r="C985" s="559"/>
      <c r="D985" s="610"/>
      <c r="E985" s="577"/>
      <c r="F985" s="613"/>
      <c r="G985" s="616"/>
      <c r="H985" s="619"/>
      <c r="I985" s="589"/>
      <c r="J985" s="622"/>
      <c r="K985" s="592"/>
      <c r="L985" s="589"/>
      <c r="M985" s="595"/>
      <c r="N985" s="598"/>
      <c r="O985" s="601"/>
      <c r="P985" s="595"/>
      <c r="Q985" s="604"/>
      <c r="R985" s="601"/>
      <c r="S985" s="287"/>
      <c r="T985" s="604"/>
      <c r="U985" s="142" t="s">
        <v>190</v>
      </c>
      <c r="V985" s="415"/>
      <c r="W985" s="319"/>
      <c r="X985" s="320" t="str">
        <f>IF(W985=[26]Listas!$B$46,[26]Listas!$C$46,IF(W985=[26]Listas!$B$47,[26]Listas!$C$47,IF(W985=[26]Listas!$B$48,[26]Listas!$C$48,"")))</f>
        <v/>
      </c>
      <c r="Y985" s="321" t="str">
        <f>IF(OR(W985=[26]Listas!$F$53,W985=[26]Listas!$F$54),[26]Listas!$G$53,IF(W985=[26]Listas!$F$55,[26]Listas!$G$55,""))</f>
        <v/>
      </c>
      <c r="Z985" s="319"/>
      <c r="AA985" s="182" t="str">
        <f>+IF(Z985=[26]Listas!$E$46,[26]Listas!$F$46,IF(Z985=[26]Listas!$E$47,[26]Listas!$F$47,""))</f>
        <v/>
      </c>
      <c r="AB985" s="183" t="str">
        <f t="shared" ref="AB985:AB991" si="152">IFERROR(X985+AA985,"")</f>
        <v/>
      </c>
      <c r="AC985" s="319"/>
      <c r="AD985" s="322"/>
      <c r="AE985" s="323"/>
      <c r="AF985" s="305" t="str">
        <f t="shared" si="149"/>
        <v>Baja</v>
      </c>
      <c r="AG985" s="145">
        <f>IF(Y985=[26]Listas!$G$53,AG984-(AG984*AB985),AG984)</f>
        <v>0.36</v>
      </c>
      <c r="AH985" s="562"/>
      <c r="AI985" s="305" t="str">
        <f t="shared" si="150"/>
        <v>Leve</v>
      </c>
      <c r="AJ985" s="145">
        <f>IF(Y985=[26]Listas!$G$55,AJ984-(AJ984*AB985),AJ984)</f>
        <v>0.2</v>
      </c>
      <c r="AK985" s="562"/>
      <c r="AL985" s="565"/>
      <c r="AM985" s="565"/>
      <c r="AN985" s="565"/>
      <c r="AO985" s="568"/>
      <c r="AP985" s="571"/>
      <c r="AQ985" s="344"/>
      <c r="AR985" s="276"/>
    </row>
    <row r="986" spans="2:44" ht="15.65" hidden="1" customHeight="1" thickTop="1" x14ac:dyDescent="0.35">
      <c r="B986" s="537"/>
      <c r="C986" s="559"/>
      <c r="D986" s="610"/>
      <c r="E986" s="577"/>
      <c r="F986" s="613"/>
      <c r="G986" s="616"/>
      <c r="H986" s="619"/>
      <c r="I986" s="589"/>
      <c r="J986" s="622"/>
      <c r="K986" s="592"/>
      <c r="L986" s="589"/>
      <c r="M986" s="595"/>
      <c r="N986" s="598"/>
      <c r="O986" s="601"/>
      <c r="P986" s="595"/>
      <c r="Q986" s="604"/>
      <c r="R986" s="601"/>
      <c r="S986" s="287"/>
      <c r="T986" s="604"/>
      <c r="U986" s="142" t="s">
        <v>198</v>
      </c>
      <c r="V986" s="415"/>
      <c r="W986" s="319"/>
      <c r="X986" s="320" t="str">
        <f>IF(W986=[26]Listas!$B$46,[26]Listas!$C$46,IF(W986=[26]Listas!$B$47,[26]Listas!$C$47,IF(W986=[26]Listas!$B$48,[26]Listas!$C$48,"")))</f>
        <v/>
      </c>
      <c r="Y986" s="321" t="str">
        <f>IF(OR(W986=[26]Listas!$F$53,W986=[26]Listas!$F$54),[26]Listas!$G$53,IF(W986=[26]Listas!$F$55,[26]Listas!$G$55,""))</f>
        <v/>
      </c>
      <c r="Z986" s="319"/>
      <c r="AA986" s="182" t="str">
        <f>+IF(Z986=[26]Listas!$E$46,[26]Listas!$F$46,IF(Z986=[26]Listas!$E$47,[26]Listas!$F$47,""))</f>
        <v/>
      </c>
      <c r="AB986" s="183" t="str">
        <f t="shared" si="152"/>
        <v/>
      </c>
      <c r="AC986" s="319"/>
      <c r="AD986" s="322"/>
      <c r="AE986" s="323"/>
      <c r="AF986" s="305" t="str">
        <f t="shared" si="149"/>
        <v>Baja</v>
      </c>
      <c r="AG986" s="145">
        <f>IF(Y986=[26]Listas!$G$53,AG985-(AG985*AB986),AG985)</f>
        <v>0.36</v>
      </c>
      <c r="AH986" s="562"/>
      <c r="AI986" s="305" t="str">
        <f t="shared" si="150"/>
        <v>Leve</v>
      </c>
      <c r="AJ986" s="145">
        <f>IF(Y986=[26]Listas!$G$55,AJ985-(AJ985*AB986),AJ985)</f>
        <v>0.2</v>
      </c>
      <c r="AK986" s="562"/>
      <c r="AL986" s="565"/>
      <c r="AM986" s="565"/>
      <c r="AN986" s="565"/>
      <c r="AO986" s="568"/>
      <c r="AP986" s="571"/>
      <c r="AQ986" s="344"/>
      <c r="AR986" s="276"/>
    </row>
    <row r="987" spans="2:44" ht="16" hidden="1" customHeight="1" thickTop="1" x14ac:dyDescent="0.35">
      <c r="B987" s="537"/>
      <c r="C987" s="559"/>
      <c r="D987" s="610"/>
      <c r="E987" s="577"/>
      <c r="F987" s="613"/>
      <c r="G987" s="616"/>
      <c r="H987" s="619"/>
      <c r="I987" s="589"/>
      <c r="J987" s="622"/>
      <c r="K987" s="592"/>
      <c r="L987" s="589"/>
      <c r="M987" s="595"/>
      <c r="N987" s="598"/>
      <c r="O987" s="601"/>
      <c r="P987" s="595"/>
      <c r="Q987" s="604"/>
      <c r="R987" s="601"/>
      <c r="S987" s="288"/>
      <c r="T987" s="604"/>
      <c r="U987" s="142" t="s">
        <v>208</v>
      </c>
      <c r="V987" s="415"/>
      <c r="W987" s="319"/>
      <c r="X987" s="320" t="str">
        <f>IF(W987=[26]Listas!$B$46,[26]Listas!$C$46,IF(W987=[26]Listas!$B$47,[26]Listas!$C$47,IF(W987=[26]Listas!$B$48,[26]Listas!$C$48,"")))</f>
        <v/>
      </c>
      <c r="Y987" s="321" t="str">
        <f>IF(OR(W987=[26]Listas!$F$53,W987=[26]Listas!$F$54),[26]Listas!$G$53,IF(W987=[26]Listas!$F$55,[26]Listas!$G$55,""))</f>
        <v/>
      </c>
      <c r="Z987" s="319"/>
      <c r="AA987" s="182" t="str">
        <f>+IF(Z987=[26]Listas!$E$46,[26]Listas!$F$46,IF(Z987=[26]Listas!$E$47,[26]Listas!$F$47,""))</f>
        <v/>
      </c>
      <c r="AB987" s="183" t="str">
        <f t="shared" si="152"/>
        <v/>
      </c>
      <c r="AC987" s="319"/>
      <c r="AD987" s="322"/>
      <c r="AE987" s="323"/>
      <c r="AF987" s="305" t="str">
        <f t="shared" si="149"/>
        <v>Baja</v>
      </c>
      <c r="AG987" s="145">
        <f>IF(Y987=[26]Listas!$G$53,AG986-(AG986*AB987),AG986)</f>
        <v>0.36</v>
      </c>
      <c r="AH987" s="562"/>
      <c r="AI987" s="305" t="str">
        <f t="shared" si="150"/>
        <v>Leve</v>
      </c>
      <c r="AJ987" s="145">
        <f>IF(Y987=[26]Listas!$G$55,AJ986-(AJ986*AB987),AJ986)</f>
        <v>0.2</v>
      </c>
      <c r="AK987" s="562"/>
      <c r="AL987" s="565"/>
      <c r="AM987" s="565"/>
      <c r="AN987" s="565"/>
      <c r="AO987" s="568"/>
      <c r="AP987" s="571"/>
      <c r="AQ987" s="344"/>
      <c r="AR987" s="276"/>
    </row>
    <row r="988" spans="2:44" ht="15.65" hidden="1" customHeight="1" thickTop="1" x14ac:dyDescent="0.35">
      <c r="B988" s="537"/>
      <c r="C988" s="559"/>
      <c r="D988" s="610"/>
      <c r="E988" s="577"/>
      <c r="F988" s="613"/>
      <c r="G988" s="616"/>
      <c r="H988" s="619"/>
      <c r="I988" s="589"/>
      <c r="J988" s="622"/>
      <c r="K988" s="592"/>
      <c r="L988" s="589"/>
      <c r="M988" s="595"/>
      <c r="N988" s="598"/>
      <c r="O988" s="601"/>
      <c r="P988" s="595"/>
      <c r="Q988" s="604"/>
      <c r="R988" s="601"/>
      <c r="S988" s="289"/>
      <c r="T988" s="604"/>
      <c r="U988" s="142" t="s">
        <v>215</v>
      </c>
      <c r="V988" s="418"/>
      <c r="W988" s="331"/>
      <c r="X988" s="320" t="str">
        <f>IF(W988=[26]Listas!$B$46,[26]Listas!$C$46,IF(W988=[26]Listas!$B$47,[26]Listas!$C$47,IF(W988=[26]Listas!$B$48,[26]Listas!$C$48,"")))</f>
        <v/>
      </c>
      <c r="Y988" s="321" t="str">
        <f>IF(OR(W988=[26]Listas!$F$53,W988=[26]Listas!$F$54),[26]Listas!$G$53,IF(W988=[26]Listas!$F$55,[26]Listas!$G$55,""))</f>
        <v/>
      </c>
      <c r="Z988" s="331"/>
      <c r="AA988" s="182" t="str">
        <f>+IF(Z988=[26]Listas!$E$46,[26]Listas!$F$46,IF(Z988=[26]Listas!$E$47,[26]Listas!$F$47,""))</f>
        <v/>
      </c>
      <c r="AB988" s="183" t="str">
        <f t="shared" si="152"/>
        <v/>
      </c>
      <c r="AC988" s="319"/>
      <c r="AD988" s="322"/>
      <c r="AE988" s="323"/>
      <c r="AF988" s="305" t="str">
        <f t="shared" si="149"/>
        <v>Baja</v>
      </c>
      <c r="AG988" s="145">
        <f>IF(Y988=[26]Listas!$G$53,AG987-(AG987*AB988),AG987)</f>
        <v>0.36</v>
      </c>
      <c r="AH988" s="562"/>
      <c r="AI988" s="305" t="str">
        <f t="shared" si="150"/>
        <v>Leve</v>
      </c>
      <c r="AJ988" s="145">
        <f>IF(Y988=[26]Listas!$G$55,AJ987-(AJ987*AB988),AJ987)</f>
        <v>0.2</v>
      </c>
      <c r="AK988" s="562"/>
      <c r="AL988" s="565"/>
      <c r="AM988" s="565"/>
      <c r="AN988" s="565"/>
      <c r="AO988" s="568"/>
      <c r="AP988" s="571"/>
      <c r="AQ988" s="344"/>
      <c r="AR988" s="276"/>
    </row>
    <row r="989" spans="2:44" ht="15.65" hidden="1" customHeight="1" thickTop="1" x14ac:dyDescent="0.35">
      <c r="B989" s="537"/>
      <c r="C989" s="559"/>
      <c r="D989" s="610"/>
      <c r="E989" s="577"/>
      <c r="F989" s="613"/>
      <c r="G989" s="616"/>
      <c r="H989" s="619"/>
      <c r="I989" s="589"/>
      <c r="J989" s="622"/>
      <c r="K989" s="592"/>
      <c r="L989" s="589"/>
      <c r="M989" s="595"/>
      <c r="N989" s="598"/>
      <c r="O989" s="601"/>
      <c r="P989" s="595"/>
      <c r="Q989" s="604"/>
      <c r="R989" s="601"/>
      <c r="S989" s="289"/>
      <c r="T989" s="604"/>
      <c r="U989" s="142" t="s">
        <v>220</v>
      </c>
      <c r="V989" s="418"/>
      <c r="W989" s="331"/>
      <c r="X989" s="320" t="str">
        <f>IF(W989=[26]Listas!$B$46,[26]Listas!$C$46,IF(W989=[26]Listas!$B$47,[26]Listas!$C$47,IF(W989=[26]Listas!$B$48,[26]Listas!$C$48,"")))</f>
        <v/>
      </c>
      <c r="Y989" s="321" t="str">
        <f>IF(OR(W989=[26]Listas!$F$53,W989=[26]Listas!$F$54),[26]Listas!$G$53,IF(W989=[26]Listas!$F$55,[26]Listas!$G$55,""))</f>
        <v/>
      </c>
      <c r="Z989" s="331"/>
      <c r="AA989" s="182" t="str">
        <f>+IF(Z989=[26]Listas!$E$46,[26]Listas!$F$46,IF(Z989=[26]Listas!$E$47,[26]Listas!$F$47,""))</f>
        <v/>
      </c>
      <c r="AB989" s="183" t="str">
        <f t="shared" si="152"/>
        <v/>
      </c>
      <c r="AC989" s="319"/>
      <c r="AD989" s="322"/>
      <c r="AE989" s="323"/>
      <c r="AF989" s="305" t="str">
        <f t="shared" si="149"/>
        <v>Baja</v>
      </c>
      <c r="AG989" s="145">
        <f>IF(Y989=[26]Listas!$G$53,AG988-(AG988*AB989),AG988)</f>
        <v>0.36</v>
      </c>
      <c r="AH989" s="562"/>
      <c r="AI989" s="305" t="str">
        <f t="shared" si="150"/>
        <v>Leve</v>
      </c>
      <c r="AJ989" s="145">
        <f>IF(Y989=[26]Listas!$G$55,AJ988-(AJ988*AB989),AJ988)</f>
        <v>0.2</v>
      </c>
      <c r="AK989" s="562"/>
      <c r="AL989" s="565"/>
      <c r="AM989" s="565"/>
      <c r="AN989" s="565"/>
      <c r="AO989" s="568"/>
      <c r="AP989" s="571"/>
      <c r="AQ989" s="344"/>
      <c r="AR989" s="276"/>
    </row>
    <row r="990" spans="2:44" ht="15.65" hidden="1" customHeight="1" thickTop="1" x14ac:dyDescent="0.35">
      <c r="B990" s="537"/>
      <c r="C990" s="559"/>
      <c r="D990" s="610"/>
      <c r="E990" s="577"/>
      <c r="F990" s="613"/>
      <c r="G990" s="616"/>
      <c r="H990" s="619"/>
      <c r="I990" s="589"/>
      <c r="J990" s="622"/>
      <c r="K990" s="592"/>
      <c r="L990" s="589"/>
      <c r="M990" s="595"/>
      <c r="N990" s="598"/>
      <c r="O990" s="601"/>
      <c r="P990" s="595"/>
      <c r="Q990" s="604"/>
      <c r="R990" s="601"/>
      <c r="S990" s="289"/>
      <c r="T990" s="604"/>
      <c r="U990" s="142" t="s">
        <v>223</v>
      </c>
      <c r="V990" s="418"/>
      <c r="W990" s="331"/>
      <c r="X990" s="320" t="str">
        <f>IF(W990=[26]Listas!$B$46,[26]Listas!$C$46,IF(W990=[26]Listas!$B$47,[26]Listas!$C$47,IF(W990=[26]Listas!$B$48,[26]Listas!$C$48,"")))</f>
        <v/>
      </c>
      <c r="Y990" s="321" t="str">
        <f>IF(OR(W990=[26]Listas!$F$53,W990=[26]Listas!$F$54),[26]Listas!$G$53,IF(W990=[26]Listas!$F$55,[26]Listas!$G$55,""))</f>
        <v/>
      </c>
      <c r="Z990" s="331"/>
      <c r="AA990" s="182" t="str">
        <f>+IF(Z990=[26]Listas!$E$46,[26]Listas!$F$46,IF(Z990=[26]Listas!$E$47,[26]Listas!$F$47,""))</f>
        <v/>
      </c>
      <c r="AB990" s="183" t="str">
        <f t="shared" si="152"/>
        <v/>
      </c>
      <c r="AC990" s="319"/>
      <c r="AD990" s="322"/>
      <c r="AE990" s="323"/>
      <c r="AF990" s="305" t="str">
        <f t="shared" si="149"/>
        <v>Baja</v>
      </c>
      <c r="AG990" s="145">
        <f>IF(Y990=[26]Listas!$G$53,AG989-(AG989*AB990),AG989)</f>
        <v>0.36</v>
      </c>
      <c r="AH990" s="562"/>
      <c r="AI990" s="305" t="str">
        <f t="shared" si="150"/>
        <v>Leve</v>
      </c>
      <c r="AJ990" s="145">
        <f>IF(Y990=[26]Listas!$G$55,AJ989-(AJ989*AB990),AJ989)</f>
        <v>0.2</v>
      </c>
      <c r="AK990" s="562"/>
      <c r="AL990" s="565"/>
      <c r="AM990" s="565"/>
      <c r="AN990" s="565"/>
      <c r="AO990" s="568"/>
      <c r="AP990" s="571"/>
      <c r="AQ990" s="344"/>
      <c r="AR990" s="276"/>
    </row>
    <row r="991" spans="2:44" ht="16" hidden="1" customHeight="1" thickTop="1" x14ac:dyDescent="0.35">
      <c r="B991" s="537"/>
      <c r="C991" s="559"/>
      <c r="D991" s="611"/>
      <c r="E991" s="578"/>
      <c r="F991" s="614"/>
      <c r="G991" s="617"/>
      <c r="H991" s="620"/>
      <c r="I991" s="590"/>
      <c r="J991" s="623"/>
      <c r="K991" s="593"/>
      <c r="L991" s="590"/>
      <c r="M991" s="596"/>
      <c r="N991" s="599"/>
      <c r="O991" s="602"/>
      <c r="P991" s="596"/>
      <c r="Q991" s="605"/>
      <c r="R991" s="602"/>
      <c r="S991" s="293"/>
      <c r="T991" s="605"/>
      <c r="U991" s="202" t="s">
        <v>224</v>
      </c>
      <c r="V991" s="416"/>
      <c r="W991" s="335"/>
      <c r="X991" s="336" t="str">
        <f>IF(W991=[26]Listas!$B$46,[26]Listas!$C$46,IF(W991=[26]Listas!$B$47,[26]Listas!$C$47,IF(W991=[26]Listas!$B$48,[26]Listas!$C$48,"")))</f>
        <v/>
      </c>
      <c r="Y991" s="337" t="str">
        <f>IF(OR(W991=[26]Listas!$F$53,W991=[26]Listas!$F$54),[26]Listas!$G$53,IF(W991=[26]Listas!$F$55,[26]Listas!$G$55,""))</f>
        <v/>
      </c>
      <c r="Z991" s="335"/>
      <c r="AA991" s="186" t="str">
        <f>+IF(Z991=[26]Listas!$E$46,[26]Listas!$F$46,IF(Z991=[26]Listas!$E$47,[26]Listas!$F$47,""))</f>
        <v/>
      </c>
      <c r="AB991" s="187" t="str">
        <f t="shared" si="152"/>
        <v/>
      </c>
      <c r="AC991" s="338"/>
      <c r="AD991" s="339"/>
      <c r="AE991" s="340"/>
      <c r="AF991" s="311" t="str">
        <f t="shared" si="149"/>
        <v>Baja</v>
      </c>
      <c r="AG991" s="179">
        <f>IF(Y991=[26]Listas!$G$53,AG990-(AG990*AB991),AG990)</f>
        <v>0.36</v>
      </c>
      <c r="AH991" s="563"/>
      <c r="AI991" s="311" t="str">
        <f t="shared" si="150"/>
        <v>Leve</v>
      </c>
      <c r="AJ991" s="179">
        <f>IF(Y991=[26]Listas!$G$55,AJ990-(AJ990*AB991),AJ990)</f>
        <v>0.2</v>
      </c>
      <c r="AK991" s="563"/>
      <c r="AL991" s="566"/>
      <c r="AM991" s="566"/>
      <c r="AN991" s="566"/>
      <c r="AO991" s="569"/>
      <c r="AP991" s="572"/>
      <c r="AQ991" s="396"/>
      <c r="AR991" s="277"/>
    </row>
    <row r="992" spans="2:44" ht="43" thickTop="1" thickBot="1" x14ac:dyDescent="0.4">
      <c r="B992" s="537"/>
      <c r="C992" s="559"/>
      <c r="D992" s="609" t="s">
        <v>1064</v>
      </c>
      <c r="E992" s="576" t="s">
        <v>5</v>
      </c>
      <c r="F992" s="612" t="s">
        <v>1065</v>
      </c>
      <c r="G992" s="615" t="s">
        <v>1066</v>
      </c>
      <c r="H992" s="618" t="s">
        <v>1067</v>
      </c>
      <c r="I992" s="588" t="s">
        <v>28</v>
      </c>
      <c r="J992" s="588" t="s">
        <v>29</v>
      </c>
      <c r="K992" s="591" t="s">
        <v>1068</v>
      </c>
      <c r="L992" s="588" t="s">
        <v>168</v>
      </c>
      <c r="M992" s="594" t="s">
        <v>214</v>
      </c>
      <c r="N992" s="597" t="str">
        <f>+IF(M992="","",IF(M992=$BO$15,$BN$15,IF(M992=$BO$16,$BN$16,IF(M992=$BO$17,$BN$17,IF(M992=$BO$18,$BN$18,IF(M992=$BO$19,$BN$19))))))</f>
        <v>Media</v>
      </c>
      <c r="O992" s="600">
        <f>+IF(M992="","",IF(M992=$BO$15,$BR$15,IF(M992=$BO$16,$BR$16,IF(M992=$BO$17,$BR$17,IF(M992=$BO$18,$BR$18,IF(M992=$BO$19,$BR$19))))))</f>
        <v>0.6</v>
      </c>
      <c r="P992" s="594" t="s">
        <v>212</v>
      </c>
      <c r="Q992" s="603" t="str">
        <f>+IF(P992="","",IF(P992='[26]Mapa de Calor inherente'!$AF$6,'[26]Mapa de Calor inherente'!$AD$6,IF(P992='[26]Mapa de Calor inherente'!$AF$7,'[26]Mapa de Calor inherente'!$AD$7,IF(P992='[26]Mapa de Calor inherente'!$AF$8,'[26]Mapa de Calor inherente'!$AD$8,IF(P992='[26]Mapa de Calor inherente'!$AF$9,'[26]Mapa de Calor inherente'!$AD$9,IF(P992='[26]Mapa de Calor inherente'!$AF$10,'[26]Mapa de Calor inherente'!$AD$10,IF(P992='[26]Mapa de Calor inherente'!$AG$6,'[26]Mapa de Calor inherente'!$AD$6,IF(P992='[26]Mapa de Calor inherente'!$AG$7,'[26]Mapa de Calor inherente'!$AD$7,IF(P992='[26]Mapa de Calor inherente'!$AG$8,'[26]Mapa de Calor inherente'!$AD$8,IF(P992='[26]Mapa de Calor inherente'!$AG$9,'[26]Mapa de Calor inherente'!$AD$9,IF(P992='[26]Mapa de Calor inherente'!$AG$10,'[26]Mapa de Calor inherente'!$AD$10,IF(P992='[26]Mapa de Calor inherente'!$AD$8,'[26]Mapa de Calor inherente'!$AD$8,IF(P992='[26]Mapa de Calor inherente'!$AD$9,'[26]Mapa de Calor inherente'!$AD$9,IF(P992='[26]Mapa de Calor inherente'!$AD$10,'[26]Mapa de Calor inherente'!$AD$10))))))))))))))</f>
        <v>Moderado</v>
      </c>
      <c r="R992" s="600">
        <f>+IF(P992="","",IF(P992='[26]Mapa de Calor inherente'!$AF$6,'[26]Mapa de Calor inherente'!$AE$6,IF(P992='[26]Mapa de Calor inherente'!$AF$7,'[26]Mapa de Calor inherente'!$AE$7,IF(P992='[26]Mapa de Calor inherente'!$AF$8,'[26]Mapa de Calor inherente'!$AE$8,IF(P992='[26]Mapa de Calor inherente'!$AF$9,'[26]Mapa de Calor inherente'!$AE$9,IF(P992='[26]Mapa de Calor inherente'!$AF$10,'[26]Mapa de Calor inherente'!$AE$10,IF(P992='[26]Mapa de Calor inherente'!$AG$6,'[26]Mapa de Calor inherente'!$AE$6,IF(P992='[26]Mapa de Calor inherente'!$AG$7,'[26]Mapa de Calor inherente'!$AE$7,IF(P992='[26]Mapa de Calor inherente'!$AG$8,'[26]Mapa de Calor inherente'!$AE$8,IF(P992='[26]Mapa de Calor inherente'!$AG$9,'[26]Mapa de Calor inherente'!$AE$9,IF(P992='[26]Mapa de Calor inherente'!$AG$10,'[26]Mapa de Calor inherente'!$AE$10,IF(P992='[26]Mapa de Calor inherente'!$AD$8,'[26]Mapa de Calor inherente'!$AE$8,IF(P992='[26]Mapa de Calor inherente'!$AD$9,'[26]Mapa de Calor inherente'!$AE$9,IF(P992='[26]Mapa de Calor inherente'!$AD$10,'[26]Mapa de Calor inherente'!$AE$10))))))))))))))</f>
        <v>0.6</v>
      </c>
      <c r="S992" s="292" t="e">
        <f>IF(N992="","",IF(R992="","",(N992*R992)))</f>
        <v>#VALUE!</v>
      </c>
      <c r="T992" s="603" t="str">
        <f>+IF(N992=$BB$17,IF(Q992=$BC$16,$BC$17,IF(Q992=$BD$16,$BD$17,IF(Q992=$BE$16,$BE$17,IF(Q992=$BF$16,$BF$17,IF(Q992=$BG$16,$BG$17))))),IF(N992=$BB$18,IF(Q992=$BC$16,$BC$18,IF(Q992=$BD$16,$BD$18,IF(Q992=$BE$16,$BE$18,IF(Q992=$BF$16,$BF$18,IF(Q992=$BG$16,$BG$18))))),IF(N992=$BB$19,IF(Q992=$BC$16,$BC$19,IF(Q992=$BD$16,$BD$19,IF(Q992=$BE$16,$BE$19,IF(Q992=$BF$16,$BF$19,IF(Q992=$BG$16,$BG$19))))),IF(N992=$BB$20,IF(Q992=$BC$16,$BC$20,IF(Q992=$BD$16,$BD$20,IF(Q992=$BE$16,$BE$20,IF(Q992=$BF$16,$BF$20,IF(Q992=$BG$16,$BG$20))))),IF(N992=$BB$21,IF(Q992=$BC$16,$BC$21,IF(Q992=$BD$16,$BD$21,IF(Q992=$BE$16,$BE$21,IF(Q992=$BF$16,$BF$21,IF(Q992=$BG$16,$BG$21))))),"")))))</f>
        <v>Moderado</v>
      </c>
      <c r="U992" s="139" t="s">
        <v>171</v>
      </c>
      <c r="V992" s="436" t="s">
        <v>1069</v>
      </c>
      <c r="W992" s="313" t="s">
        <v>44</v>
      </c>
      <c r="X992" s="314">
        <f>IF(W992=[26]Listas!$B$46,[26]Listas!$C$46,IF(W992=[26]Listas!$B$47,[26]Listas!$C$47,IF(W992=[26]Listas!$B$48,[26]Listas!$C$48,"")))</f>
        <v>0.1</v>
      </c>
      <c r="Y992" s="315" t="str">
        <f>IF(OR(W992=[26]Listas!$F$53,W992=[26]Listas!$F$54),[26]Listas!$G$53,IF(W992=[26]Listas!$F$55,[26]Listas!$G$55,""))</f>
        <v>Impacto</v>
      </c>
      <c r="Z992" s="313" t="s">
        <v>43</v>
      </c>
      <c r="AA992" s="314">
        <f>+IF(Z992=[26]Listas!$E$46,[26]Listas!$F$46,IF(Z992=[26]Listas!$E$47,[26]Listas!$F$47,""))</f>
        <v>0.15</v>
      </c>
      <c r="AB992" s="181">
        <f>IFERROR(X992+AA992,"")</f>
        <v>0.25</v>
      </c>
      <c r="AC992" s="313" t="s">
        <v>64</v>
      </c>
      <c r="AD992" s="316" t="s">
        <v>58</v>
      </c>
      <c r="AE992" s="317" t="s">
        <v>59</v>
      </c>
      <c r="AF992" s="299" t="str">
        <f t="shared" si="149"/>
        <v>Media</v>
      </c>
      <c r="AG992" s="141">
        <f>IF(Y992=[26]Listas!$G$53,O992-(O992*AB992),O992)</f>
        <v>0.6</v>
      </c>
      <c r="AH992" s="561">
        <f>+IF(AG1001="","",AG1001)</f>
        <v>0.09</v>
      </c>
      <c r="AI992" s="299" t="str">
        <f>IF(AJ992="","",IF(AJ992&lt;=20%,"Leve",IF(AJ992&lt;=40%,"Menor",IF(AJ992&lt;=60%,"Moderado",IF(AJ992&lt;=80%,"Mayor","Catastrófico")))))</f>
        <v>Moderado</v>
      </c>
      <c r="AJ992" s="141">
        <f>IF(Y992=[26]Listas!$G$55,R992-(R992*AB992),R992)</f>
        <v>0.44999999999999996</v>
      </c>
      <c r="AK992" s="561">
        <f>+IF(AJ1001="","",AJ1001)</f>
        <v>0.33749999999999997</v>
      </c>
      <c r="AL992" s="564" t="str">
        <f>+IF(AH992=0,"",IF(AH992&lt;=$BA$21,$BB$21,IF(AH992&lt;=$BA$20,$BB$20,IF(AH992&lt;=$BA$19,$BB$19,IF(AH992&lt;=$BA$18,$BB$18,IF(AH992&lt;=$BA$17,$BB$17,""))))))</f>
        <v>Muy Baja</v>
      </c>
      <c r="AM992" s="564" t="str">
        <f>+IF(AK992=0,"",IF(AK992&lt;=$BC$15,$BC$16,IF(AK992&lt;=$BD$15,$BD$16,IF(AK992&lt;=$BE$15,$BE$16,IF(AK992&lt;=$BF$15,$BF$16,IF(AK992&lt;=$BG$15,$BG$16,""))))))</f>
        <v>Menor</v>
      </c>
      <c r="AN992" s="564" t="str">
        <f>IF(AL992=$BB$17,IF(AM992=$BC$16,$BC$17,IF(AM992=$BD$16,$BD$17,IF(AM992=$BE$16,$BE$17,IF(AM992=$BF$16,$BF$17,IF(AM992=$BG$16,$BG$17))))),IF(AL992=$BB$18,IF(AM992=$BC$16,$BC$18,IF(AM992=$BD$16,$BD$18,IF(AM992=$BE$16,$BE$18,IF(AM992=$BF$16,$BF$18,IF(AM992=$BG$16,$BG$18))))),IF(AL992=$BB$19,IF(AM992=$BC$16,$BC$19,IF(AM992=$BD$16,$BD$19,IF(AM992=$BE$16,$BE$19,IF(AM992=$BF$16,$BF$19,IF(AM992=$BG$16,$BG$19))))),IF(AL992=$BB$20,IF(AM992=$BC$16,$BC$20,IF(AM992=$BD$16,$BD$20,IF(AM992=$BE$16,$BE$20,IF(AM992=$BF$16,$BF$20,IF(AM992=$BG$16,$BG$20))))),IF(AL992=$BB$21,IF(AM992=$BC$16,$BC$21,IF(AM992=$BD$16,$BD$21,IF(AM992=$BE$16,$BE$21,IF(AM992=$BF$16,$BF$21,IF(AM992=$BG$16,$BG$21))))),"")))))</f>
        <v>Bajo</v>
      </c>
      <c r="AO992" s="567" t="str">
        <f>IF(AP992="","",IF(AP992=[26]Listas!$F$61,[26]Listas!$G$61,IF(AP992=[26]Listas!$F$63,[26]Listas!$G$63,IF(AP992=[26]Listas!$F$64,[26]Listas!$G$64))))</f>
        <v>No requiere Plan de Acción</v>
      </c>
      <c r="AP992" s="570" t="str">
        <f>IF(AN992="","",IF(OR(AN992=[26]Listas!$E$61,AN992=[26]Listas!$E$62),[26]Listas!$F$61,IF(AN992=[26]Listas!$E$63,[26]Listas!$F$63,IF(AN992=[26]Listas!$E$64,[26]Listas!$F$64))))</f>
        <v>Aceptar  el riesgo</v>
      </c>
      <c r="AQ992" s="358" t="s">
        <v>80</v>
      </c>
      <c r="AR992" s="275" t="s">
        <v>1069</v>
      </c>
    </row>
    <row r="993" spans="2:44" ht="57" thickTop="1" thickBot="1" x14ac:dyDescent="0.4">
      <c r="B993" s="537"/>
      <c r="C993" s="559"/>
      <c r="D993" s="610"/>
      <c r="E993" s="577"/>
      <c r="F993" s="613"/>
      <c r="G993" s="616"/>
      <c r="H993" s="619"/>
      <c r="I993" s="589"/>
      <c r="J993" s="589"/>
      <c r="K993" s="592"/>
      <c r="L993" s="589"/>
      <c r="M993" s="595"/>
      <c r="N993" s="598"/>
      <c r="O993" s="601"/>
      <c r="P993" s="595"/>
      <c r="Q993" s="604"/>
      <c r="R993" s="601"/>
      <c r="S993" s="286"/>
      <c r="T993" s="604"/>
      <c r="U993" s="142" t="s">
        <v>174</v>
      </c>
      <c r="V993" s="415" t="s">
        <v>1070</v>
      </c>
      <c r="W993" s="331" t="s">
        <v>40</v>
      </c>
      <c r="X993" s="320">
        <f>IF(W993=[26]Listas!$B$46,[26]Listas!$C$46,IF(W993=[26]Listas!$B$47,[26]Listas!$C$47,IF(W993=[26]Listas!$B$48,[26]Listas!$C$48,"")))</f>
        <v>0.25</v>
      </c>
      <c r="Y993" s="321" t="str">
        <f>IF(OR(W993=[26]Listas!$F$53,W993=[26]Listas!$F$54),[26]Listas!$G$53,IF(W993=[26]Listas!$F$55,[26]Listas!$G$55,""))</f>
        <v>Probabilidad</v>
      </c>
      <c r="Z993" s="319" t="s">
        <v>41</v>
      </c>
      <c r="AA993" s="182">
        <f>+IF(Z993=[26]Listas!$E$46,[26]Listas!$F$46,IF(Z993=[26]Listas!$E$47,[26]Listas!$F$47,""))</f>
        <v>0.25</v>
      </c>
      <c r="AB993" s="183">
        <f>IFERROR(X993+AA993,"")</f>
        <v>0.5</v>
      </c>
      <c r="AC993" s="319" t="s">
        <v>57</v>
      </c>
      <c r="AD993" s="322" t="s">
        <v>58</v>
      </c>
      <c r="AE993" s="323" t="s">
        <v>59</v>
      </c>
      <c r="AF993" s="305" t="str">
        <f t="shared" si="149"/>
        <v>Baja</v>
      </c>
      <c r="AG993" s="145">
        <f>IF(Y993=[26]Listas!$G$53,AG992-(AG992*AB993),AG992)</f>
        <v>0.3</v>
      </c>
      <c r="AH993" s="562"/>
      <c r="AI993" s="305" t="str">
        <f t="shared" si="150"/>
        <v>Moderado</v>
      </c>
      <c r="AJ993" s="145">
        <f>IF(Y993=[26]Listas!$G$55,AJ992-(AJ992*AB993),AJ992)</f>
        <v>0.44999999999999996</v>
      </c>
      <c r="AK993" s="562"/>
      <c r="AL993" s="565"/>
      <c r="AM993" s="565"/>
      <c r="AN993" s="565"/>
      <c r="AO993" s="568"/>
      <c r="AP993" s="571"/>
      <c r="AQ993" s="348" t="s">
        <v>90</v>
      </c>
      <c r="AR993" s="276" t="s">
        <v>1070</v>
      </c>
    </row>
    <row r="994" spans="2:44" ht="29" thickTop="1" thickBot="1" x14ac:dyDescent="0.4">
      <c r="B994" s="537"/>
      <c r="C994" s="559"/>
      <c r="D994" s="610"/>
      <c r="E994" s="577"/>
      <c r="F994" s="613"/>
      <c r="G994" s="616"/>
      <c r="H994" s="619"/>
      <c r="I994" s="589"/>
      <c r="J994" s="589"/>
      <c r="K994" s="592"/>
      <c r="L994" s="589"/>
      <c r="M994" s="595"/>
      <c r="N994" s="598"/>
      <c r="O994" s="601"/>
      <c r="P994" s="595"/>
      <c r="Q994" s="604"/>
      <c r="R994" s="601"/>
      <c r="S994" s="287"/>
      <c r="T994" s="604"/>
      <c r="U994" s="142" t="s">
        <v>180</v>
      </c>
      <c r="V994" s="415" t="s">
        <v>1071</v>
      </c>
      <c r="W994" s="331" t="s">
        <v>40</v>
      </c>
      <c r="X994" s="320">
        <f>IF(W994=[26]Listas!$B$46,[26]Listas!$C$46,IF(W994=[26]Listas!$B$47,[26]Listas!$C$47,IF(W994=[26]Listas!$B$48,[26]Listas!$C$48,"")))</f>
        <v>0.25</v>
      </c>
      <c r="Y994" s="321" t="str">
        <f>IF(OR(W994=[26]Listas!$F$53,W994=[26]Listas!$F$54),[26]Listas!$G$53,IF(W994=[26]Listas!$F$55,[26]Listas!$G$55,""))</f>
        <v>Probabilidad</v>
      </c>
      <c r="Z994" s="319" t="s">
        <v>43</v>
      </c>
      <c r="AA994" s="182">
        <f>+IF(Z994=[26]Listas!$E$46,[26]Listas!$F$46,IF(Z994=[26]Listas!$E$47,[26]Listas!$F$47,""))</f>
        <v>0.15</v>
      </c>
      <c r="AB994" s="183">
        <f>IFERROR(X994+AA994,"")</f>
        <v>0.4</v>
      </c>
      <c r="AC994" s="325" t="s">
        <v>57</v>
      </c>
      <c r="AD994" s="326" t="s">
        <v>58</v>
      </c>
      <c r="AE994" s="327" t="s">
        <v>59</v>
      </c>
      <c r="AF994" s="305" t="str">
        <f t="shared" si="149"/>
        <v>Muy baja</v>
      </c>
      <c r="AG994" s="145">
        <f>IF(Y994=[26]Listas!$G$53,AG993-(AG993*AB994),AG993)</f>
        <v>0.18</v>
      </c>
      <c r="AH994" s="562"/>
      <c r="AI994" s="305" t="str">
        <f t="shared" si="150"/>
        <v>Moderado</v>
      </c>
      <c r="AJ994" s="145">
        <f>IF(Y994=[26]Listas!$G$55,AJ993-(AJ993*AB994),AJ993)</f>
        <v>0.44999999999999996</v>
      </c>
      <c r="AK994" s="562"/>
      <c r="AL994" s="565"/>
      <c r="AM994" s="565"/>
      <c r="AN994" s="565"/>
      <c r="AO994" s="568"/>
      <c r="AP994" s="571"/>
      <c r="AQ994" s="348" t="s">
        <v>80</v>
      </c>
      <c r="AR994" s="276" t="s">
        <v>1071</v>
      </c>
    </row>
    <row r="995" spans="2:44" ht="29" thickTop="1" thickBot="1" x14ac:dyDescent="0.4">
      <c r="B995" s="537"/>
      <c r="C995" s="559"/>
      <c r="D995" s="610"/>
      <c r="E995" s="577"/>
      <c r="F995" s="613"/>
      <c r="G995" s="616"/>
      <c r="H995" s="619"/>
      <c r="I995" s="589"/>
      <c r="J995" s="589"/>
      <c r="K995" s="592"/>
      <c r="L995" s="589"/>
      <c r="M995" s="595"/>
      <c r="N995" s="598"/>
      <c r="O995" s="601"/>
      <c r="P995" s="595"/>
      <c r="Q995" s="604"/>
      <c r="R995" s="601"/>
      <c r="S995" s="287"/>
      <c r="T995" s="604"/>
      <c r="U995" s="142" t="s">
        <v>190</v>
      </c>
      <c r="V995" s="418" t="s">
        <v>1072</v>
      </c>
      <c r="W995" s="331" t="s">
        <v>40</v>
      </c>
      <c r="X995" s="320">
        <f>IF(W995=[26]Listas!$B$46,[26]Listas!$C$46,IF(W995=[26]Listas!$B$47,[26]Listas!$C$47,IF(W995=[26]Listas!$B$48,[26]Listas!$C$48,"")))</f>
        <v>0.25</v>
      </c>
      <c r="Y995" s="321" t="str">
        <f>IF(OR(W995=[26]Listas!$F$53,W995=[26]Listas!$F$54),[26]Listas!$G$53,IF(W995=[26]Listas!$F$55,[26]Listas!$G$55,""))</f>
        <v>Probabilidad</v>
      </c>
      <c r="Z995" s="319" t="s">
        <v>41</v>
      </c>
      <c r="AA995" s="182">
        <f>+IF(Z995=[26]Listas!$E$46,[26]Listas!$F$46,IF(Z995=[26]Listas!$E$47,[26]Listas!$F$47,""))</f>
        <v>0.25</v>
      </c>
      <c r="AB995" s="183">
        <f t="shared" ref="AB995:AB1001" si="153">IFERROR(X995+AA995,"")</f>
        <v>0.5</v>
      </c>
      <c r="AC995" s="328" t="s">
        <v>64</v>
      </c>
      <c r="AD995" s="329" t="s">
        <v>58</v>
      </c>
      <c r="AE995" s="330" t="s">
        <v>59</v>
      </c>
      <c r="AF995" s="305" t="str">
        <f t="shared" si="149"/>
        <v>Muy baja</v>
      </c>
      <c r="AG995" s="145">
        <f>IF(Y995=[26]Listas!$G$53,AG994-(AG994*AB995),AG994)</f>
        <v>0.09</v>
      </c>
      <c r="AH995" s="562"/>
      <c r="AI995" s="305" t="str">
        <f t="shared" si="150"/>
        <v>Moderado</v>
      </c>
      <c r="AJ995" s="145">
        <f>IF(Y995=[26]Listas!$G$55,AJ994-(AJ994*AB995),AJ994)</f>
        <v>0.44999999999999996</v>
      </c>
      <c r="AK995" s="562"/>
      <c r="AL995" s="565"/>
      <c r="AM995" s="565"/>
      <c r="AN995" s="565"/>
      <c r="AO995" s="568"/>
      <c r="AP995" s="571"/>
      <c r="AQ995" s="348" t="s">
        <v>80</v>
      </c>
      <c r="AR995" s="278" t="s">
        <v>1072</v>
      </c>
    </row>
    <row r="996" spans="2:44" ht="43" thickTop="1" thickBot="1" x14ac:dyDescent="0.4">
      <c r="B996" s="537"/>
      <c r="C996" s="559"/>
      <c r="D996" s="610"/>
      <c r="E996" s="577"/>
      <c r="F996" s="613"/>
      <c r="G996" s="616"/>
      <c r="H996" s="619"/>
      <c r="I996" s="589"/>
      <c r="J996" s="589"/>
      <c r="K996" s="592"/>
      <c r="L996" s="589"/>
      <c r="M996" s="595"/>
      <c r="N996" s="598"/>
      <c r="O996" s="601"/>
      <c r="P996" s="595"/>
      <c r="Q996" s="604"/>
      <c r="R996" s="601"/>
      <c r="S996" s="287"/>
      <c r="T996" s="604"/>
      <c r="U996" s="142" t="s">
        <v>198</v>
      </c>
      <c r="V996" s="415" t="s">
        <v>1073</v>
      </c>
      <c r="W996" s="331" t="s">
        <v>44</v>
      </c>
      <c r="X996" s="320">
        <f>IF(W996=[26]Listas!$B$46,[26]Listas!$C$46,IF(W996=[26]Listas!$B$47,[26]Listas!$C$47,IF(W996=[26]Listas!$B$48,[26]Listas!$C$48,"")))</f>
        <v>0.1</v>
      </c>
      <c r="Y996" s="321" t="str">
        <f>IF(OR(W996=[26]Listas!$F$53,W996=[26]Listas!$F$54),[26]Listas!$G$53,IF(W996=[26]Listas!$F$55,[26]Listas!$G$55,""))</f>
        <v>Impacto</v>
      </c>
      <c r="Z996" s="319" t="s">
        <v>43</v>
      </c>
      <c r="AA996" s="182">
        <f>+IF(Z996=[26]Listas!$E$46,[26]Listas!$F$46,IF(Z996=[26]Listas!$E$47,[26]Listas!$F$47,""))</f>
        <v>0.15</v>
      </c>
      <c r="AB996" s="183">
        <f t="shared" si="153"/>
        <v>0.25</v>
      </c>
      <c r="AC996" s="319" t="s">
        <v>64</v>
      </c>
      <c r="AD996" s="322" t="s">
        <v>58</v>
      </c>
      <c r="AE996" s="323" t="s">
        <v>59</v>
      </c>
      <c r="AF996" s="305" t="str">
        <f t="shared" si="149"/>
        <v>Muy baja</v>
      </c>
      <c r="AG996" s="145">
        <f>IF(Y996=[26]Listas!$G$53,AG995-(AG995*AB996),AG995)</f>
        <v>0.09</v>
      </c>
      <c r="AH996" s="562"/>
      <c r="AI996" s="305" t="str">
        <f t="shared" si="150"/>
        <v>Menor</v>
      </c>
      <c r="AJ996" s="145">
        <f>IF(Y996=[26]Listas!$G$55,AJ995-(AJ995*AB996),AJ995)</f>
        <v>0.33749999999999997</v>
      </c>
      <c r="AK996" s="562"/>
      <c r="AL996" s="565"/>
      <c r="AM996" s="565"/>
      <c r="AN996" s="565"/>
      <c r="AO996" s="568"/>
      <c r="AP996" s="571"/>
      <c r="AQ996" s="344"/>
      <c r="AR996" s="276" t="s">
        <v>1073</v>
      </c>
    </row>
    <row r="997" spans="2:44" ht="15" hidden="1" thickTop="1" thickBot="1" x14ac:dyDescent="0.4">
      <c r="B997" s="537"/>
      <c r="C997" s="559"/>
      <c r="D997" s="610"/>
      <c r="E997" s="577"/>
      <c r="F997" s="613"/>
      <c r="G997" s="616"/>
      <c r="H997" s="619"/>
      <c r="I997" s="589"/>
      <c r="J997" s="589"/>
      <c r="K997" s="592"/>
      <c r="L997" s="589"/>
      <c r="M997" s="595"/>
      <c r="N997" s="598"/>
      <c r="O997" s="601"/>
      <c r="P997" s="595"/>
      <c r="Q997" s="604"/>
      <c r="R997" s="601"/>
      <c r="S997" s="288"/>
      <c r="T997" s="604"/>
      <c r="U997" s="142" t="s">
        <v>208</v>
      </c>
      <c r="V997" s="418"/>
      <c r="W997" s="331"/>
      <c r="X997" s="320" t="str">
        <f>IF(W997=[26]Listas!$B$46,[26]Listas!$C$46,IF(W997=[26]Listas!$B$47,[26]Listas!$C$47,IF(W997=[26]Listas!$B$48,[26]Listas!$C$48,"")))</f>
        <v/>
      </c>
      <c r="Y997" s="321" t="str">
        <f>IF(OR(W997=[26]Listas!$F$53,W997=[26]Listas!$F$54),[26]Listas!$G$53,IF(W997=[26]Listas!$F$55,[26]Listas!$G$55,""))</f>
        <v/>
      </c>
      <c r="Z997" s="319"/>
      <c r="AA997" s="182" t="str">
        <f>+IF(Z997=[26]Listas!$E$46,[26]Listas!$F$46,IF(Z997=[26]Listas!$E$47,[26]Listas!$F$47,""))</f>
        <v/>
      </c>
      <c r="AB997" s="183" t="str">
        <f t="shared" si="153"/>
        <v/>
      </c>
      <c r="AC997" s="319"/>
      <c r="AD997" s="322"/>
      <c r="AE997" s="323"/>
      <c r="AF997" s="305" t="str">
        <f t="shared" si="149"/>
        <v>Muy baja</v>
      </c>
      <c r="AG997" s="145">
        <f>IF(Y997=[26]Listas!$G$53,AG996-(AG996*AB997),AG996)</f>
        <v>0.09</v>
      </c>
      <c r="AH997" s="562"/>
      <c r="AI997" s="305" t="str">
        <f t="shared" si="150"/>
        <v>Menor</v>
      </c>
      <c r="AJ997" s="145">
        <f>IF(Y997=[26]Listas!$G$55,AJ996-(AJ996*AB997),AJ996)</f>
        <v>0.33749999999999997</v>
      </c>
      <c r="AK997" s="562"/>
      <c r="AL997" s="565"/>
      <c r="AM997" s="565"/>
      <c r="AN997" s="565"/>
      <c r="AO997" s="568"/>
      <c r="AP997" s="571"/>
      <c r="AQ997" s="343"/>
      <c r="AR997" s="199"/>
    </row>
    <row r="998" spans="2:44" ht="15" hidden="1" customHeight="1" thickTop="1" thickBot="1" x14ac:dyDescent="0.4">
      <c r="B998" s="537"/>
      <c r="C998" s="559"/>
      <c r="D998" s="610"/>
      <c r="E998" s="577"/>
      <c r="F998" s="613"/>
      <c r="G998" s="616"/>
      <c r="H998" s="619"/>
      <c r="I998" s="589"/>
      <c r="J998" s="589"/>
      <c r="K998" s="592"/>
      <c r="L998" s="589"/>
      <c r="M998" s="595"/>
      <c r="N998" s="598"/>
      <c r="O998" s="601"/>
      <c r="P998" s="595"/>
      <c r="Q998" s="604"/>
      <c r="R998" s="601"/>
      <c r="S998" s="289"/>
      <c r="T998" s="604"/>
      <c r="U998" s="142" t="s">
        <v>215</v>
      </c>
      <c r="V998" s="415"/>
      <c r="W998" s="319"/>
      <c r="X998" s="320" t="str">
        <f>IF(W998=[26]Listas!$B$46,[26]Listas!$C$46,IF(W998=[26]Listas!$B$47,[26]Listas!$C$47,IF(W998=[26]Listas!$B$48,[26]Listas!$C$48,"")))</f>
        <v/>
      </c>
      <c r="Y998" s="321" t="str">
        <f>IF(OR(W998=[26]Listas!$F$53,W998=[26]Listas!$F$54),[26]Listas!$G$53,IF(W998=[26]Listas!$F$55,[26]Listas!$G$55,""))</f>
        <v/>
      </c>
      <c r="Z998" s="319"/>
      <c r="AA998" s="182" t="str">
        <f>+IF(Z998=[26]Listas!$E$46,[26]Listas!$F$46,IF(Z998=[26]Listas!$E$47,[26]Listas!$F$47,""))</f>
        <v/>
      </c>
      <c r="AB998" s="183" t="str">
        <f t="shared" si="153"/>
        <v/>
      </c>
      <c r="AC998" s="319"/>
      <c r="AD998" s="322"/>
      <c r="AE998" s="323"/>
      <c r="AF998" s="305" t="str">
        <f t="shared" si="149"/>
        <v>Muy baja</v>
      </c>
      <c r="AG998" s="145">
        <f>IF(Y998=[26]Listas!$G$53,AG997-(AG997*AB998),AG997)</f>
        <v>0.09</v>
      </c>
      <c r="AH998" s="562"/>
      <c r="AI998" s="305" t="str">
        <f t="shared" si="150"/>
        <v>Menor</v>
      </c>
      <c r="AJ998" s="145">
        <f>IF(Y998=[26]Listas!$G$55,AJ997-(AJ997*AB998),AJ997)</f>
        <v>0.33749999999999997</v>
      </c>
      <c r="AK998" s="562"/>
      <c r="AL998" s="565"/>
      <c r="AM998" s="565"/>
      <c r="AN998" s="565"/>
      <c r="AO998" s="568"/>
      <c r="AP998" s="571"/>
      <c r="AQ998" s="343"/>
      <c r="AR998" s="191"/>
    </row>
    <row r="999" spans="2:44" ht="15" hidden="1" customHeight="1" thickTop="1" thickBot="1" x14ac:dyDescent="0.4">
      <c r="B999" s="537"/>
      <c r="C999" s="559"/>
      <c r="D999" s="610"/>
      <c r="E999" s="577"/>
      <c r="F999" s="613"/>
      <c r="G999" s="616"/>
      <c r="H999" s="619"/>
      <c r="I999" s="589"/>
      <c r="J999" s="589"/>
      <c r="K999" s="592"/>
      <c r="L999" s="589"/>
      <c r="M999" s="595"/>
      <c r="N999" s="598"/>
      <c r="O999" s="601"/>
      <c r="P999" s="595"/>
      <c r="Q999" s="604"/>
      <c r="R999" s="601"/>
      <c r="S999" s="289"/>
      <c r="T999" s="604"/>
      <c r="U999" s="142" t="s">
        <v>220</v>
      </c>
      <c r="V999" s="418"/>
      <c r="W999" s="331"/>
      <c r="X999" s="320" t="str">
        <f>IF(W999=[26]Listas!$B$46,[26]Listas!$C$46,IF(W999=[26]Listas!$B$47,[26]Listas!$C$47,IF(W999=[26]Listas!$B$48,[26]Listas!$C$48,"")))</f>
        <v/>
      </c>
      <c r="Y999" s="321" t="str">
        <f>IF(OR(W999=[26]Listas!$F$53,W999=[26]Listas!$F$54),[26]Listas!$G$53,IF(W999=[26]Listas!$F$55,[26]Listas!$G$55,""))</f>
        <v/>
      </c>
      <c r="Z999" s="319"/>
      <c r="AA999" s="182" t="str">
        <f>+IF(Z999=[26]Listas!$E$46,[26]Listas!$F$46,IF(Z999=[26]Listas!$E$47,[26]Listas!$F$47,""))</f>
        <v/>
      </c>
      <c r="AB999" s="183" t="str">
        <f t="shared" si="153"/>
        <v/>
      </c>
      <c r="AC999" s="319"/>
      <c r="AD999" s="322"/>
      <c r="AE999" s="323"/>
      <c r="AF999" s="305" t="str">
        <f t="shared" si="149"/>
        <v>Muy baja</v>
      </c>
      <c r="AG999" s="145">
        <f>IF(Y999=[26]Listas!$G$53,AG998-(AG998*AB999),AG998)</f>
        <v>0.09</v>
      </c>
      <c r="AH999" s="562"/>
      <c r="AI999" s="305" t="str">
        <f t="shared" si="150"/>
        <v>Menor</v>
      </c>
      <c r="AJ999" s="145">
        <f>IF(Y999=[26]Listas!$G$55,AJ998-(AJ998*AB999),AJ998)</f>
        <v>0.33749999999999997</v>
      </c>
      <c r="AK999" s="562"/>
      <c r="AL999" s="565"/>
      <c r="AM999" s="565"/>
      <c r="AN999" s="565"/>
      <c r="AO999" s="568"/>
      <c r="AP999" s="571"/>
      <c r="AQ999" s="344"/>
      <c r="AR999" s="191"/>
    </row>
    <row r="1000" spans="2:44" ht="15" hidden="1" customHeight="1" thickTop="1" thickBot="1" x14ac:dyDescent="0.4">
      <c r="B1000" s="537"/>
      <c r="C1000" s="559"/>
      <c r="D1000" s="610"/>
      <c r="E1000" s="577"/>
      <c r="F1000" s="613"/>
      <c r="G1000" s="616"/>
      <c r="H1000" s="619"/>
      <c r="I1000" s="589"/>
      <c r="J1000" s="589"/>
      <c r="K1000" s="592"/>
      <c r="L1000" s="589"/>
      <c r="M1000" s="595"/>
      <c r="N1000" s="598"/>
      <c r="O1000" s="601"/>
      <c r="P1000" s="595"/>
      <c r="Q1000" s="604"/>
      <c r="R1000" s="601"/>
      <c r="S1000" s="289"/>
      <c r="T1000" s="604"/>
      <c r="U1000" s="142" t="s">
        <v>223</v>
      </c>
      <c r="V1000" s="418"/>
      <c r="W1000" s="331"/>
      <c r="X1000" s="320" t="str">
        <f>IF(W1000=[26]Listas!$B$46,[26]Listas!$C$46,IF(W1000=[26]Listas!$B$47,[26]Listas!$C$47,IF(W1000=[26]Listas!$B$48,[26]Listas!$C$48,"")))</f>
        <v/>
      </c>
      <c r="Y1000" s="321" t="str">
        <f>IF(OR(W1000=[26]Listas!$F$53,W1000=[26]Listas!$F$54),[26]Listas!$G$53,IF(W1000=[26]Listas!$F$55,[26]Listas!$G$55,""))</f>
        <v/>
      </c>
      <c r="Z1000" s="319"/>
      <c r="AA1000" s="182" t="str">
        <f>+IF(Z1000=[26]Listas!$E$46,[26]Listas!$F$46,IF(Z1000=[26]Listas!$E$47,[26]Listas!$F$47,""))</f>
        <v/>
      </c>
      <c r="AB1000" s="183" t="str">
        <f t="shared" si="153"/>
        <v/>
      </c>
      <c r="AC1000" s="319"/>
      <c r="AD1000" s="322"/>
      <c r="AE1000" s="323"/>
      <c r="AF1000" s="305" t="str">
        <f t="shared" si="149"/>
        <v>Muy baja</v>
      </c>
      <c r="AG1000" s="145">
        <f>IF(Y1000=[26]Listas!$G$53,AG999-(AG999*AB1000),AG999)</f>
        <v>0.09</v>
      </c>
      <c r="AH1000" s="562"/>
      <c r="AI1000" s="305" t="str">
        <f t="shared" si="150"/>
        <v>Menor</v>
      </c>
      <c r="AJ1000" s="145">
        <f>IF(Y1000=[26]Listas!$G$55,AJ999-(AJ999*AB1000),AJ999)</f>
        <v>0.33749999999999997</v>
      </c>
      <c r="AK1000" s="562"/>
      <c r="AL1000" s="565"/>
      <c r="AM1000" s="565"/>
      <c r="AN1000" s="565"/>
      <c r="AO1000" s="568"/>
      <c r="AP1000" s="571"/>
      <c r="AQ1000" s="343"/>
      <c r="AR1000" s="191"/>
    </row>
    <row r="1001" spans="2:44" ht="15.75" hidden="1" customHeight="1" thickTop="1" thickBot="1" x14ac:dyDescent="0.4">
      <c r="B1001" s="537"/>
      <c r="C1001" s="559"/>
      <c r="D1001" s="611"/>
      <c r="E1001" s="578"/>
      <c r="F1001" s="614"/>
      <c r="G1001" s="617"/>
      <c r="H1001" s="620"/>
      <c r="I1001" s="590"/>
      <c r="J1001" s="590"/>
      <c r="K1001" s="593"/>
      <c r="L1001" s="590"/>
      <c r="M1001" s="596"/>
      <c r="N1001" s="599"/>
      <c r="O1001" s="602"/>
      <c r="P1001" s="596"/>
      <c r="Q1001" s="605"/>
      <c r="R1001" s="602"/>
      <c r="S1001" s="293"/>
      <c r="T1001" s="605"/>
      <c r="U1001" s="202" t="s">
        <v>224</v>
      </c>
      <c r="V1001" s="416"/>
      <c r="W1001" s="335"/>
      <c r="X1001" s="336" t="str">
        <f>IF(W1001=[26]Listas!$B$46,[26]Listas!$C$46,IF(W1001=[26]Listas!$B$47,[26]Listas!$C$47,IF(W1001=[26]Listas!$B$48,[26]Listas!$C$48,"")))</f>
        <v/>
      </c>
      <c r="Y1001" s="337" t="str">
        <f>IF(OR(W1001=[26]Listas!$F$53,W1001=[26]Listas!$F$54),[26]Listas!$G$53,IF(W1001=[26]Listas!$F$55,[26]Listas!$G$55,""))</f>
        <v/>
      </c>
      <c r="Z1001" s="335"/>
      <c r="AA1001" s="186" t="str">
        <f>+IF(Z1001=[26]Listas!$E$46,[26]Listas!$F$46,IF(Z1001=[26]Listas!$E$47,[26]Listas!$F$47,""))</f>
        <v/>
      </c>
      <c r="AB1001" s="187" t="str">
        <f t="shared" si="153"/>
        <v/>
      </c>
      <c r="AC1001" s="338"/>
      <c r="AD1001" s="339"/>
      <c r="AE1001" s="340"/>
      <c r="AF1001" s="311" t="str">
        <f t="shared" si="149"/>
        <v>Muy baja</v>
      </c>
      <c r="AG1001" s="179">
        <f>IF(Y1001=[26]Listas!$G$53,AG1000-(AG1000*AB1001),AG1000)</f>
        <v>0.09</v>
      </c>
      <c r="AH1001" s="563"/>
      <c r="AI1001" s="311" t="str">
        <f t="shared" si="150"/>
        <v>Menor</v>
      </c>
      <c r="AJ1001" s="179">
        <f>IF(Y1001=[26]Listas!$G$55,AJ1000-(AJ1000*AB1001),AJ1000)</f>
        <v>0.33749999999999997</v>
      </c>
      <c r="AK1001" s="563"/>
      <c r="AL1001" s="566"/>
      <c r="AM1001" s="566"/>
      <c r="AN1001" s="566"/>
      <c r="AO1001" s="569"/>
      <c r="AP1001" s="572"/>
      <c r="AQ1001" s="359"/>
      <c r="AR1001" s="192"/>
    </row>
    <row r="1002" spans="2:44" ht="114.75" customHeight="1" thickTop="1" thickBot="1" x14ac:dyDescent="0.4">
      <c r="B1002" s="537"/>
      <c r="C1002" s="559" t="s">
        <v>115</v>
      </c>
      <c r="D1002" s="573" t="s">
        <v>1074</v>
      </c>
      <c r="E1002" s="576" t="s">
        <v>4</v>
      </c>
      <c r="F1002" s="579" t="s">
        <v>1075</v>
      </c>
      <c r="G1002" s="582" t="s">
        <v>1076</v>
      </c>
      <c r="H1002" s="585" t="s">
        <v>1077</v>
      </c>
      <c r="I1002" s="588" t="s">
        <v>20</v>
      </c>
      <c r="J1002" s="588" t="s">
        <v>22</v>
      </c>
      <c r="K1002" s="591" t="s">
        <v>1078</v>
      </c>
      <c r="L1002" s="588" t="s">
        <v>186</v>
      </c>
      <c r="M1002" s="594" t="s">
        <v>214</v>
      </c>
      <c r="N1002" s="597" t="str">
        <f>+IF(M1002="","",IF(M1002=$BO$15,$BN$15,IF(M1002=$BO$16,$BN$16,IF(M1002=$BO$17,$BN$17,IF(M1002=$BO$18,$BN$18,IF(M1002=$BO$19,$BN$19))))))</f>
        <v>Media</v>
      </c>
      <c r="O1002" s="600">
        <f>+IF(M1002="","",IF(M1002=$BO$15,$BR$15,IF(M1002=$BO$16,$BR$16,IF(M1002=$BO$17,$BR$17,IF(M1002=$BO$18,$BR$18,IF(M1002=$BO$19,$BR$19))))))</f>
        <v>0.6</v>
      </c>
      <c r="P1002" s="594" t="s">
        <v>205</v>
      </c>
      <c r="Q1002" s="603" t="str">
        <f>+IF(P1002="","",IF(P1002='[27]Mapa de Calor inherente'!$AF$6,'[27]Mapa de Calor inherente'!$AD$6,IF(P1002='[27]Mapa de Calor inherente'!$AF$7,'[27]Mapa de Calor inherente'!$AD$7,IF(P1002='[27]Mapa de Calor inherente'!$AF$8,'[27]Mapa de Calor inherente'!$AD$8,IF(P1002='[27]Mapa de Calor inherente'!$AF$9,'[27]Mapa de Calor inherente'!$AD$9,IF(P1002='[27]Mapa de Calor inherente'!$AF$10,'[27]Mapa de Calor inherente'!$AD$10,IF(P1002='[27]Mapa de Calor inherente'!$AG$6,'[27]Mapa de Calor inherente'!$AD$6,IF(P1002='[27]Mapa de Calor inherente'!$AG$7,'[27]Mapa de Calor inherente'!$AD$7,IF(P1002='[27]Mapa de Calor inherente'!$AG$8,'[27]Mapa de Calor inherente'!$AD$8,IF(P1002='[27]Mapa de Calor inherente'!$AG$9,'[27]Mapa de Calor inherente'!$AD$9,IF(P1002='[27]Mapa de Calor inherente'!$AG$10,'[27]Mapa de Calor inherente'!$AD$10,IF(P1002='[27]Mapa de Calor inherente'!$AD$8,'[27]Mapa de Calor inherente'!$AD$8,IF(P1002='[27]Mapa de Calor inherente'!$AD$9,'[27]Mapa de Calor inherente'!$AD$9,IF(P1002='[27]Mapa de Calor inherente'!$AD$10,'[27]Mapa de Calor inherente'!$AD$10))))))))))))))</f>
        <v>Menor</v>
      </c>
      <c r="R1002" s="600">
        <f>+IF(P1002="","",IF(P1002='[27]Mapa de Calor inherente'!$AF$6,'[27]Mapa de Calor inherente'!$AE$6,IF(P1002='[27]Mapa de Calor inherente'!$AF$7,'[27]Mapa de Calor inherente'!$AE$7,IF(P1002='[27]Mapa de Calor inherente'!$AF$8,'[27]Mapa de Calor inherente'!$AE$8,IF(P1002='[27]Mapa de Calor inherente'!$AF$9,'[27]Mapa de Calor inherente'!$AE$9,IF(P1002='[27]Mapa de Calor inherente'!$AF$10,'[27]Mapa de Calor inherente'!$AE$10,IF(P1002='[27]Mapa de Calor inherente'!$AG$6,'[27]Mapa de Calor inherente'!$AE$6,IF(P1002='[27]Mapa de Calor inherente'!$AG$7,'[27]Mapa de Calor inherente'!$AE$7,IF(P1002='[27]Mapa de Calor inherente'!$AG$8,'[27]Mapa de Calor inherente'!$AE$8,IF(P1002='[27]Mapa de Calor inherente'!$AG$9,'[27]Mapa de Calor inherente'!$AE$9,IF(P1002='[27]Mapa de Calor inherente'!$AG$10,'[27]Mapa de Calor inherente'!$AE$10,IF(P1002='[27]Mapa de Calor inherente'!$AD$8,'[27]Mapa de Calor inherente'!$AE$8,IF(P1002='[27]Mapa de Calor inherente'!$AD$9,'[27]Mapa de Calor inherente'!$AE$9,IF(P1002='[27]Mapa de Calor inherente'!$AD$10,'[27]Mapa de Calor inherente'!$AE$10))))))))))))))</f>
        <v>0.4</v>
      </c>
      <c r="S1002" s="292"/>
      <c r="T1002" s="606" t="str">
        <f>+IF(N1002=$BB$17,IF(Q1002=$BC$16,$BC$17,IF(Q1002=$BD$16,$BD$17,IF(Q1002=$BE$16,$BE$17,IF(Q1002=$BF$16,$BF$17,IF(Q1002=$BG$16,$BG$17))))),IF(N1002=$BB$18,IF(Q1002=$BC$16,$BC$18,IF(Q1002=$BD$16,$BD$18,IF(Q1002=$BE$16,$BE$18,IF(Q1002=$BF$16,$BF$18,IF(Q1002=$BG$16,$BG$18))))),IF(N1002=$BB$19,IF(Q1002=$BC$16,$BC$19,IF(Q1002=$BD$16,$BD$19,IF(Q1002=$BE$16,$BE$19,IF(Q1002=$BF$16,$BF$19,IF(Q1002=$BG$16,$BG$19))))),IF(N1002=$BB$20,IF(Q1002=$BC$16,$BC$20,IF(Q1002=$BD$16,$BD$20,IF(Q1002=$BE$16,$BE$20,IF(Q1002=$BF$16,$BF$20,IF(Q1002=$BG$16,$BG$20))))),IF(N1002=$BB$21,IF(Q1002=$BC$16,$BC$21,IF(Q1002=$BD$16,$BD$21,IF(Q1002=$BE$16,$BE$21,IF(Q1002=$BF$16,$BF$21,IF(Q1002=$BG$16,$BG$21))))),"")))))</f>
        <v>Moderado</v>
      </c>
      <c r="U1002" s="139" t="s">
        <v>171</v>
      </c>
      <c r="V1002" s="523" t="s">
        <v>1079</v>
      </c>
      <c r="W1002" s="313" t="s">
        <v>40</v>
      </c>
      <c r="X1002" s="314">
        <f>IF(W1002=[27]Listas!$B$46,[27]Listas!$C$46,IF(W1002=[27]Listas!$B$47,[27]Listas!$C$47,IF(W1002=[27]Listas!$B$48,[27]Listas!$C$48,"")))</f>
        <v>0.25</v>
      </c>
      <c r="Y1002" s="315" t="str">
        <f>IF(OR(W1002=[27]Listas!$F$53,W1002=[27]Listas!$F$54),[27]Listas!$G$53,IF(W1002=[27]Listas!$F$55,[27]Listas!$G$55,""))</f>
        <v>Probabilidad</v>
      </c>
      <c r="Z1002" s="313" t="s">
        <v>43</v>
      </c>
      <c r="AA1002" s="314">
        <f>+IF(Z1002=[27]Listas!$E$46,[27]Listas!$F$46,IF(Z1002=[27]Listas!$E$47,[27]Listas!$F$47,""))</f>
        <v>0.15</v>
      </c>
      <c r="AB1002" s="181">
        <f>IFERROR(X1002+AA1002,"")</f>
        <v>0.4</v>
      </c>
      <c r="AC1002" s="313" t="s">
        <v>57</v>
      </c>
      <c r="AD1002" s="316" t="s">
        <v>58</v>
      </c>
      <c r="AE1002" s="317" t="s">
        <v>59</v>
      </c>
      <c r="AF1002" s="299" t="str">
        <f t="shared" si="149"/>
        <v>Baja</v>
      </c>
      <c r="AG1002" s="141">
        <f>IF(Y1002=[27]Listas!$G$53,O1002-(O1002*AB1002),O1002)</f>
        <v>0.36</v>
      </c>
      <c r="AH1002" s="561">
        <f>+IF(AG1011="","",AG1011)</f>
        <v>0.216</v>
      </c>
      <c r="AI1002" s="299" t="str">
        <f>IF(AJ1002="","",IF(AJ1002&lt;=20%,"Leve",IF(AJ1002&lt;=40%,"Menor",IF(AJ1002&lt;=60%,"Moderado",IF(AJ1002&lt;=80%,"Mayor","Catastrófico")))))</f>
        <v>Menor</v>
      </c>
      <c r="AJ1002" s="141">
        <f>IF(Y1002=[27]Listas!$G$55,R1002-(R1002*AB1002),R1002)</f>
        <v>0.4</v>
      </c>
      <c r="AK1002" s="561">
        <f>+IF(AJ1011="","",AJ1011)</f>
        <v>0.4</v>
      </c>
      <c r="AL1002" s="564" t="str">
        <f>+IF(AH1002=0,"",IF(AH1002&lt;=$BA$21,$BB$21,IF(AH1002&lt;=$BA$20,$BB$20,IF(AH1002&lt;=$BA$19,$BB$19,IF(AH1002&lt;=$BA$18,$BB$18,IF(AH1002&lt;=$BA$17,$BB$17,""))))))</f>
        <v>Baja</v>
      </c>
      <c r="AM1002" s="564" t="str">
        <f>+IF(AK1002=0,"",IF(AK1002&lt;=$BC$15,$BC$16,IF(AK1002&lt;=$BD$15,$BD$16,IF(AK1002&lt;=$BE$15,$BE$16,IF(AK1002&lt;=$BF$15,$BF$16,IF(AK1002&lt;=$BG$15,$BG$16,""))))))</f>
        <v>Menor</v>
      </c>
      <c r="AN1002" s="564" t="str">
        <f>IF(AL1002=$BB$17,IF(AM1002=$BC$16,$BC$17,IF(AM1002=$BD$16,$BD$17,IF(AM1002=$BE$16,$BE$17,IF(AM1002=$BF$16,$BF$17,IF(AM1002=$BG$16,$BG$17))))),IF(AL1002=$BB$18,IF(AM1002=$BC$16,$BC$18,IF(AM1002=$BD$16,$BD$18,IF(AM1002=$BE$16,$BE$18,IF(AM1002=$BF$16,$BF$18,IF(AM1002=$BG$16,$BG$18))))),IF(AL1002=$BB$19,IF(AM1002=$BC$16,$BC$19,IF(AM1002=$BD$16,$BD$19,IF(AM1002=$BE$16,$BE$19,IF(AM1002=$BF$16,$BF$19,IF(AM1002=$BG$16,$BG$19))))),IF(AL1002=$BB$20,IF(AM1002=$BC$16,$BC$20,IF(AM1002=$BD$16,$BD$20,IF(AM1002=$BE$16,$BE$20,IF(AM1002=$BF$16,$BF$20,IF(AM1002=$BG$16,$BG$20))))),IF(AL1002=$BB$21,IF(AM1002=$BC$16,$BC$21,IF(AM1002=$BD$16,$BD$21,IF(AM1002=$BE$16,$BE$21,IF(AM1002=$BF$16,$BF$21,IF(AM1002=$BG$16,$BG$21))))),"")))))</f>
        <v>Moderado</v>
      </c>
      <c r="AO1002" s="567" t="str">
        <f>IF(AP1002="","",IF(AP1002=[27]Listas!$F$61,[27]Listas!$G$61,IF(AP1002=[27]Listas!$F$63,[27]Listas!$G$63,IF(AP1002=[27]Listas!$F$64,[27]Listas!$G$64))))</f>
        <v>Requiere Plan de Acción</v>
      </c>
      <c r="AP1002" s="570" t="str">
        <f>IF(AN1002="","",IF(OR(AN1002=[27]Listas!$E$61,AN1002=[27]Listas!$E$62),[27]Listas!$F$61,IF(AN1002=[27]Listas!$E$63,[27]Listas!$F$63,IF(AN1002=[27]Listas!$E$64,[27]Listas!$F$64))))</f>
        <v>Aceptar o reducir el riesgo</v>
      </c>
      <c r="AQ1002" s="318" t="s">
        <v>80</v>
      </c>
      <c r="AR1002" s="120" t="s">
        <v>1080</v>
      </c>
    </row>
    <row r="1003" spans="2:44" ht="71" thickTop="1" thickBot="1" x14ac:dyDescent="0.4">
      <c r="B1003" s="537"/>
      <c r="C1003" s="559"/>
      <c r="D1003" s="574"/>
      <c r="E1003" s="577"/>
      <c r="F1003" s="580"/>
      <c r="G1003" s="583"/>
      <c r="H1003" s="586"/>
      <c r="I1003" s="589"/>
      <c r="J1003" s="589"/>
      <c r="K1003" s="592"/>
      <c r="L1003" s="589"/>
      <c r="M1003" s="595"/>
      <c r="N1003" s="598"/>
      <c r="O1003" s="601"/>
      <c r="P1003" s="595"/>
      <c r="Q1003" s="604"/>
      <c r="R1003" s="601"/>
      <c r="S1003" s="286"/>
      <c r="T1003" s="607"/>
      <c r="U1003" s="142" t="s">
        <v>174</v>
      </c>
      <c r="V1003" s="524" t="s">
        <v>1081</v>
      </c>
      <c r="W1003" s="319" t="s">
        <v>40</v>
      </c>
      <c r="X1003" s="320">
        <f>IF(W1003=[27]Listas!$B$46,[27]Listas!$C$46,IF(W1003=[27]Listas!$B$47,[27]Listas!$C$47,IF(W1003=[27]Listas!$B$48,[27]Listas!$C$48,"")))</f>
        <v>0.25</v>
      </c>
      <c r="Y1003" s="321" t="str">
        <f>IF(OR(W1003=[27]Listas!$F$53,W1003=[27]Listas!$F$54),[27]Listas!$G$53,IF(W1003=[27]Listas!$F$55,[27]Listas!$G$55,""))</f>
        <v>Probabilidad</v>
      </c>
      <c r="Z1003" s="319" t="s">
        <v>43</v>
      </c>
      <c r="AA1003" s="182">
        <f>+IF(Z1003=[27]Listas!$E$46,[27]Listas!$F$46,IF(Z1003=[27]Listas!$E$47,[27]Listas!$F$47,""))</f>
        <v>0.15</v>
      </c>
      <c r="AB1003" s="183">
        <f>IFERROR(X1003+AA1003,"")</f>
        <v>0.4</v>
      </c>
      <c r="AC1003" s="319" t="s">
        <v>57</v>
      </c>
      <c r="AD1003" s="322" t="s">
        <v>58</v>
      </c>
      <c r="AE1003" s="323" t="s">
        <v>59</v>
      </c>
      <c r="AF1003" s="305" t="str">
        <f t="shared" si="149"/>
        <v>Baja</v>
      </c>
      <c r="AG1003" s="145">
        <f>IF(Y1003=[27]Listas!$G$53,AG1002-(AG1002*AB1003),AG1002)</f>
        <v>0.216</v>
      </c>
      <c r="AH1003" s="562"/>
      <c r="AI1003" s="305" t="str">
        <f t="shared" ref="AI1003:AI1021" si="154">IF(AJ1003="","",IF(AJ1003&lt;=20%,"Leve",IF(AJ1003&lt;=40%,"Menor",IF(AJ1003&lt;=60%,"Moderado",IF(AJ1003&lt;=80%,"Mayor","Catastrófico")))))</f>
        <v>Menor</v>
      </c>
      <c r="AJ1003" s="145">
        <f>IF(Y1003=[27]Listas!$G$55,AJ1002-(AJ1002*AB1003),AJ1002)</f>
        <v>0.4</v>
      </c>
      <c r="AK1003" s="562"/>
      <c r="AL1003" s="565"/>
      <c r="AM1003" s="565"/>
      <c r="AN1003" s="565"/>
      <c r="AO1003" s="568"/>
      <c r="AP1003" s="571"/>
      <c r="AQ1003" s="324" t="s">
        <v>80</v>
      </c>
      <c r="AR1003" s="121" t="s">
        <v>1082</v>
      </c>
    </row>
    <row r="1004" spans="2:44" ht="57" thickTop="1" thickBot="1" x14ac:dyDescent="0.4">
      <c r="B1004" s="537"/>
      <c r="C1004" s="559"/>
      <c r="D1004" s="574"/>
      <c r="E1004" s="577"/>
      <c r="F1004" s="580"/>
      <c r="G1004" s="583"/>
      <c r="H1004" s="586"/>
      <c r="I1004" s="589"/>
      <c r="J1004" s="589"/>
      <c r="K1004" s="592"/>
      <c r="L1004" s="589"/>
      <c r="M1004" s="595"/>
      <c r="N1004" s="598"/>
      <c r="O1004" s="601"/>
      <c r="P1004" s="595"/>
      <c r="Q1004" s="604"/>
      <c r="R1004" s="601"/>
      <c r="S1004" s="287"/>
      <c r="T1004" s="607"/>
      <c r="U1004" s="142" t="s">
        <v>180</v>
      </c>
      <c r="V1004" s="415"/>
      <c r="W1004" s="319"/>
      <c r="X1004" s="320" t="str">
        <f>IF(W1004=[27]Listas!$B$46,[27]Listas!$C$46,IF(W1004=[27]Listas!$B$47,[27]Listas!$C$47,IF(W1004=[27]Listas!$B$48,[27]Listas!$C$48,"")))</f>
        <v/>
      </c>
      <c r="Y1004" s="321" t="str">
        <f>IF(OR(W1004=[27]Listas!$F$53,W1004=[27]Listas!$F$54),[27]Listas!$G$53,IF(W1004=[27]Listas!$F$55,[27]Listas!$G$55,""))</f>
        <v/>
      </c>
      <c r="Z1004" s="319"/>
      <c r="AA1004" s="182" t="str">
        <f>+IF(Z1004=[27]Listas!$E$46,[27]Listas!$F$46,IF(Z1004=[27]Listas!$E$47,[27]Listas!$F$47,""))</f>
        <v/>
      </c>
      <c r="AB1004" s="183" t="str">
        <f>IFERROR(X1004+AA1004,"")</f>
        <v/>
      </c>
      <c r="AC1004" s="325"/>
      <c r="AD1004" s="326"/>
      <c r="AE1004" s="327"/>
      <c r="AF1004" s="305" t="str">
        <f t="shared" si="149"/>
        <v>Baja</v>
      </c>
      <c r="AG1004" s="145">
        <f>IF(Y1004=[27]Listas!$G$53,AG1003-(AG1003*AB1004),AG1003)</f>
        <v>0.216</v>
      </c>
      <c r="AH1004" s="562"/>
      <c r="AI1004" s="305" t="str">
        <f t="shared" si="154"/>
        <v>Menor</v>
      </c>
      <c r="AJ1004" s="145">
        <f>IF(Y1004=[27]Listas!$G$55,AJ1003-(AJ1003*AB1004),AJ1003)</f>
        <v>0.4</v>
      </c>
      <c r="AK1004" s="562"/>
      <c r="AL1004" s="565"/>
      <c r="AM1004" s="565"/>
      <c r="AN1004" s="565"/>
      <c r="AO1004" s="568"/>
      <c r="AP1004" s="571"/>
      <c r="AQ1004" s="324" t="s">
        <v>90</v>
      </c>
      <c r="AR1004" s="122" t="s">
        <v>1083</v>
      </c>
    </row>
    <row r="1005" spans="2:44" ht="15" hidden="1" customHeight="1" thickBot="1" x14ac:dyDescent="0.4">
      <c r="B1005" s="537"/>
      <c r="C1005" s="559"/>
      <c r="D1005" s="574"/>
      <c r="E1005" s="577"/>
      <c r="F1005" s="580"/>
      <c r="G1005" s="583"/>
      <c r="H1005" s="586"/>
      <c r="I1005" s="589"/>
      <c r="J1005" s="589"/>
      <c r="K1005" s="592"/>
      <c r="L1005" s="589"/>
      <c r="M1005" s="595"/>
      <c r="N1005" s="598"/>
      <c r="O1005" s="601"/>
      <c r="P1005" s="595"/>
      <c r="Q1005" s="604"/>
      <c r="R1005" s="601"/>
      <c r="S1005" s="287"/>
      <c r="T1005" s="607"/>
      <c r="U1005" s="142" t="s">
        <v>190</v>
      </c>
      <c r="V1005" s="415"/>
      <c r="W1005" s="319"/>
      <c r="X1005" s="320" t="str">
        <f>IF(W1005=[27]Listas!$B$46,[27]Listas!$C$46,IF(W1005=[27]Listas!$B$47,[27]Listas!$C$47,IF(W1005=[27]Listas!$B$48,[27]Listas!$C$48,"")))</f>
        <v/>
      </c>
      <c r="Y1005" s="321" t="str">
        <f>IF(OR(W1005=[27]Listas!$F$53,W1005=[27]Listas!$F$54),[27]Listas!$G$53,IF(W1005=[27]Listas!$F$55,[27]Listas!$G$55,""))</f>
        <v/>
      </c>
      <c r="Z1005" s="319"/>
      <c r="AA1005" s="182" t="str">
        <f>+IF(Z1005=[27]Listas!$E$46,[27]Listas!$F$46,IF(Z1005=[27]Listas!$E$47,[27]Listas!$F$47,""))</f>
        <v/>
      </c>
      <c r="AB1005" s="183" t="str">
        <f t="shared" ref="AB1005:AB1011" si="155">IFERROR(X1005+AA1005,"")</f>
        <v/>
      </c>
      <c r="AC1005" s="328"/>
      <c r="AD1005" s="329"/>
      <c r="AE1005" s="330"/>
      <c r="AF1005" s="305" t="str">
        <f t="shared" si="149"/>
        <v>Baja</v>
      </c>
      <c r="AG1005" s="145">
        <f>IF(Y1005=[27]Listas!$G$53,AG1004-(AG1004*AB1005),AG1004)</f>
        <v>0.216</v>
      </c>
      <c r="AH1005" s="562"/>
      <c r="AI1005" s="305" t="str">
        <f t="shared" si="154"/>
        <v>Menor</v>
      </c>
      <c r="AJ1005" s="145">
        <f>IF(Y1005=[27]Listas!$G$55,AJ1004-(AJ1004*AB1005),AJ1004)</f>
        <v>0.4</v>
      </c>
      <c r="AK1005" s="562"/>
      <c r="AL1005" s="565"/>
      <c r="AM1005" s="565"/>
      <c r="AN1005" s="565"/>
      <c r="AO1005" s="568"/>
      <c r="AP1005" s="571"/>
      <c r="AQ1005" s="324"/>
      <c r="AR1005" s="257"/>
    </row>
    <row r="1006" spans="2:44" ht="15" hidden="1" customHeight="1" x14ac:dyDescent="0.35">
      <c r="B1006" s="537"/>
      <c r="C1006" s="559"/>
      <c r="D1006" s="574"/>
      <c r="E1006" s="577"/>
      <c r="F1006" s="580"/>
      <c r="G1006" s="583"/>
      <c r="H1006" s="586"/>
      <c r="I1006" s="589"/>
      <c r="J1006" s="589"/>
      <c r="K1006" s="592"/>
      <c r="L1006" s="589"/>
      <c r="M1006" s="595"/>
      <c r="N1006" s="598"/>
      <c r="O1006" s="601"/>
      <c r="P1006" s="595"/>
      <c r="Q1006" s="604"/>
      <c r="R1006" s="601"/>
      <c r="S1006" s="287"/>
      <c r="T1006" s="607"/>
      <c r="U1006" s="142" t="s">
        <v>198</v>
      </c>
      <c r="V1006" s="415"/>
      <c r="W1006" s="331"/>
      <c r="X1006" s="320" t="str">
        <f>IF(W1006=[27]Listas!$B$46,[27]Listas!$C$46,IF(W1006=[27]Listas!$B$47,[27]Listas!$C$47,IF(W1006=[27]Listas!$B$48,[27]Listas!$C$48,"")))</f>
        <v/>
      </c>
      <c r="Y1006" s="321" t="str">
        <f>IF(OR(W1006=[27]Listas!$F$53,W1006=[27]Listas!$F$54),[27]Listas!$G$53,IF(W1006=[27]Listas!$F$55,[27]Listas!$G$55,""))</f>
        <v/>
      </c>
      <c r="Z1006" s="331"/>
      <c r="AA1006" s="182" t="str">
        <f>+IF(Z1006=[27]Listas!$E$46,[27]Listas!$F$46,IF(Z1006=[27]Listas!$E$47,[27]Listas!$F$47,""))</f>
        <v/>
      </c>
      <c r="AB1006" s="183" t="str">
        <f t="shared" si="155"/>
        <v/>
      </c>
      <c r="AC1006" s="319"/>
      <c r="AD1006" s="322"/>
      <c r="AE1006" s="323"/>
      <c r="AF1006" s="305" t="str">
        <f t="shared" si="149"/>
        <v>Baja</v>
      </c>
      <c r="AG1006" s="145">
        <f>IF(Y1006=[27]Listas!$G$53,AG1005-(AG1005*AB1006),AG1005)</f>
        <v>0.216</v>
      </c>
      <c r="AH1006" s="562"/>
      <c r="AI1006" s="305" t="str">
        <f t="shared" si="154"/>
        <v>Menor</v>
      </c>
      <c r="AJ1006" s="145">
        <f>IF(Y1006=[27]Listas!$G$55,AJ1005-(AJ1005*AB1006),AJ1005)</f>
        <v>0.4</v>
      </c>
      <c r="AK1006" s="562"/>
      <c r="AL1006" s="565"/>
      <c r="AM1006" s="565"/>
      <c r="AN1006" s="565"/>
      <c r="AO1006" s="568"/>
      <c r="AP1006" s="571"/>
      <c r="AQ1006" s="324"/>
      <c r="AR1006" s="185"/>
    </row>
    <row r="1007" spans="2:44" ht="15.75" hidden="1" customHeight="1" thickTop="1" thickBot="1" x14ac:dyDescent="0.4">
      <c r="B1007" s="537"/>
      <c r="C1007" s="559"/>
      <c r="D1007" s="574"/>
      <c r="E1007" s="577"/>
      <c r="F1007" s="580"/>
      <c r="G1007" s="583"/>
      <c r="H1007" s="586"/>
      <c r="I1007" s="589"/>
      <c r="J1007" s="589"/>
      <c r="K1007" s="592"/>
      <c r="L1007" s="589"/>
      <c r="M1007" s="595"/>
      <c r="N1007" s="598"/>
      <c r="O1007" s="601"/>
      <c r="P1007" s="595"/>
      <c r="Q1007" s="604"/>
      <c r="R1007" s="601"/>
      <c r="S1007" s="288"/>
      <c r="T1007" s="607"/>
      <c r="U1007" s="142" t="s">
        <v>208</v>
      </c>
      <c r="V1007" s="415"/>
      <c r="W1007" s="331"/>
      <c r="X1007" s="320" t="str">
        <f>IF(W1007=[27]Listas!$B$46,[27]Listas!$C$46,IF(W1007=[27]Listas!$B$47,[27]Listas!$C$47,IF(W1007=[27]Listas!$B$48,[27]Listas!$C$48,"")))</f>
        <v/>
      </c>
      <c r="Y1007" s="321" t="str">
        <f>IF(OR(W1007=[27]Listas!$F$53,W1007=[27]Listas!$F$54),[27]Listas!$G$53,IF(W1007=[27]Listas!$F$55,[27]Listas!$G$55,""))</f>
        <v/>
      </c>
      <c r="Z1007" s="331"/>
      <c r="AA1007" s="182" t="str">
        <f>+IF(Z1007=[27]Listas!$E$46,[27]Listas!$F$46,IF(Z1007=[27]Listas!$E$47,[27]Listas!$F$47,""))</f>
        <v/>
      </c>
      <c r="AB1007" s="183" t="str">
        <f t="shared" si="155"/>
        <v/>
      </c>
      <c r="AC1007" s="319"/>
      <c r="AD1007" s="322"/>
      <c r="AE1007" s="323"/>
      <c r="AF1007" s="305" t="str">
        <f t="shared" si="149"/>
        <v>Baja</v>
      </c>
      <c r="AG1007" s="145">
        <f>IF(Y1007=[27]Listas!$G$53,AG1006-(AG1006*AB1007),AG1006)</f>
        <v>0.216</v>
      </c>
      <c r="AH1007" s="562"/>
      <c r="AI1007" s="305" t="str">
        <f t="shared" si="154"/>
        <v>Menor</v>
      </c>
      <c r="AJ1007" s="145">
        <f>IF(Y1007=[27]Listas!$G$55,AJ1006-(AJ1006*AB1007),AJ1006)</f>
        <v>0.4</v>
      </c>
      <c r="AK1007" s="562"/>
      <c r="AL1007" s="565"/>
      <c r="AM1007" s="565"/>
      <c r="AN1007" s="565"/>
      <c r="AO1007" s="568"/>
      <c r="AP1007" s="571"/>
      <c r="AQ1007" s="332"/>
      <c r="AR1007" s="185"/>
    </row>
    <row r="1008" spans="2:44" ht="15" hidden="1" customHeight="1" thickTop="1" thickBot="1" x14ac:dyDescent="0.4">
      <c r="B1008" s="537"/>
      <c r="C1008" s="559"/>
      <c r="D1008" s="574"/>
      <c r="E1008" s="577"/>
      <c r="F1008" s="580"/>
      <c r="G1008" s="583"/>
      <c r="H1008" s="586"/>
      <c r="I1008" s="589"/>
      <c r="J1008" s="589"/>
      <c r="K1008" s="592"/>
      <c r="L1008" s="589"/>
      <c r="M1008" s="595"/>
      <c r="N1008" s="598"/>
      <c r="O1008" s="601"/>
      <c r="P1008" s="595"/>
      <c r="Q1008" s="604"/>
      <c r="R1008" s="601"/>
      <c r="S1008" s="289"/>
      <c r="T1008" s="607"/>
      <c r="U1008" s="142" t="s">
        <v>215</v>
      </c>
      <c r="V1008" s="415"/>
      <c r="W1008" s="331"/>
      <c r="X1008" s="320" t="str">
        <f>IF(W1008=[27]Listas!$B$46,[27]Listas!$C$46,IF(W1008=[27]Listas!$B$47,[27]Listas!$C$47,IF(W1008=[27]Listas!$B$48,[27]Listas!$C$48,"")))</f>
        <v/>
      </c>
      <c r="Y1008" s="321" t="str">
        <f>IF(OR(W1008=[27]Listas!$F$53,W1008=[27]Listas!$F$54),[27]Listas!$G$53,IF(W1008=[27]Listas!$F$55,[27]Listas!$G$55,""))</f>
        <v/>
      </c>
      <c r="Z1008" s="331"/>
      <c r="AA1008" s="182" t="str">
        <f>+IF(Z1008=[27]Listas!$E$46,[27]Listas!$F$46,IF(Z1008=[27]Listas!$E$47,[27]Listas!$F$47,""))</f>
        <v/>
      </c>
      <c r="AB1008" s="183" t="str">
        <f t="shared" si="155"/>
        <v/>
      </c>
      <c r="AC1008" s="319"/>
      <c r="AD1008" s="322"/>
      <c r="AE1008" s="323"/>
      <c r="AF1008" s="305" t="str">
        <f t="shared" si="149"/>
        <v>Baja</v>
      </c>
      <c r="AG1008" s="145">
        <f>IF(Y1008=[27]Listas!$G$53,AG1007-(AG1007*AB1008),AG1007)</f>
        <v>0.216</v>
      </c>
      <c r="AH1008" s="562"/>
      <c r="AI1008" s="305" t="str">
        <f t="shared" si="154"/>
        <v>Menor</v>
      </c>
      <c r="AJ1008" s="145">
        <f>IF(Y1008=[27]Listas!$G$55,AJ1007-(AJ1007*AB1008),AJ1007)</f>
        <v>0.4</v>
      </c>
      <c r="AK1008" s="562"/>
      <c r="AL1008" s="565"/>
      <c r="AM1008" s="565"/>
      <c r="AN1008" s="565"/>
      <c r="AO1008" s="568"/>
      <c r="AP1008" s="571"/>
      <c r="AQ1008" s="333"/>
      <c r="AR1008" s="185"/>
    </row>
    <row r="1009" spans="2:44" ht="15" hidden="1" customHeight="1" thickTop="1" thickBot="1" x14ac:dyDescent="0.4">
      <c r="B1009" s="537"/>
      <c r="C1009" s="559"/>
      <c r="D1009" s="574"/>
      <c r="E1009" s="577"/>
      <c r="F1009" s="580"/>
      <c r="G1009" s="583"/>
      <c r="H1009" s="586"/>
      <c r="I1009" s="589"/>
      <c r="J1009" s="589"/>
      <c r="K1009" s="592"/>
      <c r="L1009" s="589"/>
      <c r="M1009" s="595"/>
      <c r="N1009" s="598"/>
      <c r="O1009" s="601"/>
      <c r="P1009" s="595"/>
      <c r="Q1009" s="604"/>
      <c r="R1009" s="601"/>
      <c r="S1009" s="289"/>
      <c r="T1009" s="607"/>
      <c r="U1009" s="142" t="s">
        <v>220</v>
      </c>
      <c r="V1009" s="415"/>
      <c r="W1009" s="331"/>
      <c r="X1009" s="320" t="str">
        <f>IF(W1009=[27]Listas!$B$46,[27]Listas!$C$46,IF(W1009=[27]Listas!$B$47,[27]Listas!$C$47,IF(W1009=[27]Listas!$B$48,[27]Listas!$C$48,"")))</f>
        <v/>
      </c>
      <c r="Y1009" s="321" t="str">
        <f>IF(OR(W1009=[27]Listas!$F$53,W1009=[27]Listas!$F$54),[27]Listas!$G$53,IF(W1009=[27]Listas!$F$55,[27]Listas!$G$55,""))</f>
        <v/>
      </c>
      <c r="Z1009" s="331"/>
      <c r="AA1009" s="182" t="str">
        <f>+IF(Z1009=[27]Listas!$E$46,[27]Listas!$F$46,IF(Z1009=[27]Listas!$E$47,[27]Listas!$F$47,""))</f>
        <v/>
      </c>
      <c r="AB1009" s="183" t="str">
        <f t="shared" si="155"/>
        <v/>
      </c>
      <c r="AC1009" s="319"/>
      <c r="AD1009" s="322"/>
      <c r="AE1009" s="323"/>
      <c r="AF1009" s="305" t="str">
        <f t="shared" si="149"/>
        <v>Baja</v>
      </c>
      <c r="AG1009" s="145">
        <f>IF(Y1009=[27]Listas!$G$53,AG1008-(AG1008*AB1009),AG1008)</f>
        <v>0.216</v>
      </c>
      <c r="AH1009" s="562"/>
      <c r="AI1009" s="305" t="str">
        <f t="shared" si="154"/>
        <v>Menor</v>
      </c>
      <c r="AJ1009" s="145">
        <f>IF(Y1009=[27]Listas!$G$55,AJ1008-(AJ1008*AB1009),AJ1008)</f>
        <v>0.4</v>
      </c>
      <c r="AK1009" s="562"/>
      <c r="AL1009" s="565"/>
      <c r="AM1009" s="565"/>
      <c r="AN1009" s="565"/>
      <c r="AO1009" s="568"/>
      <c r="AP1009" s="571"/>
      <c r="AQ1009" s="334"/>
      <c r="AR1009" s="185"/>
    </row>
    <row r="1010" spans="2:44" ht="15" hidden="1" customHeight="1" thickTop="1" thickBot="1" x14ac:dyDescent="0.4">
      <c r="B1010" s="537"/>
      <c r="C1010" s="559"/>
      <c r="D1010" s="574"/>
      <c r="E1010" s="577"/>
      <c r="F1010" s="580"/>
      <c r="G1010" s="583"/>
      <c r="H1010" s="586"/>
      <c r="I1010" s="589"/>
      <c r="J1010" s="589"/>
      <c r="K1010" s="592"/>
      <c r="L1010" s="589"/>
      <c r="M1010" s="595"/>
      <c r="N1010" s="598"/>
      <c r="O1010" s="601"/>
      <c r="P1010" s="595"/>
      <c r="Q1010" s="604"/>
      <c r="R1010" s="601"/>
      <c r="S1010" s="289"/>
      <c r="T1010" s="607"/>
      <c r="U1010" s="142" t="s">
        <v>223</v>
      </c>
      <c r="V1010" s="415"/>
      <c r="W1010" s="331"/>
      <c r="X1010" s="320" t="str">
        <f>IF(W1010=[27]Listas!$B$46,[27]Listas!$C$46,IF(W1010=[27]Listas!$B$47,[27]Listas!$C$47,IF(W1010=[27]Listas!$B$48,[27]Listas!$C$48,"")))</f>
        <v/>
      </c>
      <c r="Y1010" s="321" t="str">
        <f>IF(OR(W1010=[27]Listas!$F$53,W1010=[27]Listas!$F$54),[27]Listas!$G$53,IF(W1010=[27]Listas!$F$55,[27]Listas!$G$55,""))</f>
        <v/>
      </c>
      <c r="Z1010" s="331"/>
      <c r="AA1010" s="182" t="str">
        <f>+IF(Z1010=[27]Listas!$E$46,[27]Listas!$F$46,IF(Z1010=[27]Listas!$E$47,[27]Listas!$F$47,""))</f>
        <v/>
      </c>
      <c r="AB1010" s="183" t="str">
        <f t="shared" si="155"/>
        <v/>
      </c>
      <c r="AC1010" s="319"/>
      <c r="AD1010" s="322"/>
      <c r="AE1010" s="323"/>
      <c r="AF1010" s="305" t="str">
        <f t="shared" si="149"/>
        <v>Baja</v>
      </c>
      <c r="AG1010" s="145">
        <f>IF(Y1010=[27]Listas!$G$53,AG1009-(AG1009*AB1010),AG1009)</f>
        <v>0.216</v>
      </c>
      <c r="AH1010" s="562"/>
      <c r="AI1010" s="305" t="str">
        <f t="shared" si="154"/>
        <v>Menor</v>
      </c>
      <c r="AJ1010" s="145">
        <f>IF(Y1010=[27]Listas!$G$55,AJ1009-(AJ1009*AB1010),AJ1009)</f>
        <v>0.4</v>
      </c>
      <c r="AK1010" s="562"/>
      <c r="AL1010" s="565"/>
      <c r="AM1010" s="565"/>
      <c r="AN1010" s="565"/>
      <c r="AO1010" s="568"/>
      <c r="AP1010" s="571"/>
      <c r="AQ1010" s="324"/>
      <c r="AR1010" s="185"/>
    </row>
    <row r="1011" spans="2:44" ht="15.75" hidden="1" customHeight="1" thickTop="1" thickBot="1" x14ac:dyDescent="0.4">
      <c r="B1011" s="537"/>
      <c r="C1011" s="559"/>
      <c r="D1011" s="575"/>
      <c r="E1011" s="578"/>
      <c r="F1011" s="581"/>
      <c r="G1011" s="584"/>
      <c r="H1011" s="587"/>
      <c r="I1011" s="590"/>
      <c r="J1011" s="590"/>
      <c r="K1011" s="593"/>
      <c r="L1011" s="590"/>
      <c r="M1011" s="596"/>
      <c r="N1011" s="599"/>
      <c r="O1011" s="602"/>
      <c r="P1011" s="596"/>
      <c r="Q1011" s="605"/>
      <c r="R1011" s="602"/>
      <c r="S1011" s="293"/>
      <c r="T1011" s="608"/>
      <c r="U1011" s="202" t="s">
        <v>224</v>
      </c>
      <c r="V1011" s="416"/>
      <c r="W1011" s="335"/>
      <c r="X1011" s="336" t="str">
        <f>IF(W1011=[27]Listas!$B$46,[27]Listas!$C$46,IF(W1011=[27]Listas!$B$47,[27]Listas!$C$47,IF(W1011=[27]Listas!$B$48,[27]Listas!$C$48,"")))</f>
        <v/>
      </c>
      <c r="Y1011" s="337" t="str">
        <f>IF(OR(W1011=[27]Listas!$F$53,W1011=[27]Listas!$F$54),[27]Listas!$G$53,IF(W1011=[27]Listas!$F$55,[27]Listas!$G$55,""))</f>
        <v/>
      </c>
      <c r="Z1011" s="335"/>
      <c r="AA1011" s="186" t="str">
        <f>+IF(Z1011=[27]Listas!$E$46,[27]Listas!$F$46,IF(Z1011=[27]Listas!$E$47,[27]Listas!$F$47,""))</f>
        <v/>
      </c>
      <c r="AB1011" s="187" t="str">
        <f t="shared" si="155"/>
        <v/>
      </c>
      <c r="AC1011" s="338"/>
      <c r="AD1011" s="339"/>
      <c r="AE1011" s="340"/>
      <c r="AF1011" s="311" t="str">
        <f t="shared" si="149"/>
        <v>Baja</v>
      </c>
      <c r="AG1011" s="179">
        <f>IF(Y1011=[27]Listas!$G$53,AG1010-(AG1010*AB1011),AG1010)</f>
        <v>0.216</v>
      </c>
      <c r="AH1011" s="563"/>
      <c r="AI1011" s="311" t="str">
        <f t="shared" si="154"/>
        <v>Menor</v>
      </c>
      <c r="AJ1011" s="179">
        <f>IF(Y1011=[27]Listas!$G$55,AJ1010-(AJ1010*AB1011),AJ1010)</f>
        <v>0.4</v>
      </c>
      <c r="AK1011" s="563"/>
      <c r="AL1011" s="566"/>
      <c r="AM1011" s="566"/>
      <c r="AN1011" s="566"/>
      <c r="AO1011" s="569"/>
      <c r="AP1011" s="572"/>
      <c r="AQ1011" s="341"/>
      <c r="AR1011" s="188"/>
    </row>
    <row r="1012" spans="2:44" ht="148.5" customHeight="1" thickTop="1" thickBot="1" x14ac:dyDescent="0.4">
      <c r="B1012" s="537"/>
      <c r="C1012" s="559"/>
      <c r="D1012" s="573" t="s">
        <v>1084</v>
      </c>
      <c r="E1012" s="576" t="s">
        <v>5</v>
      </c>
      <c r="F1012" s="579" t="s">
        <v>1085</v>
      </c>
      <c r="G1012" s="582" t="s">
        <v>1086</v>
      </c>
      <c r="H1012" s="585" t="s">
        <v>1087</v>
      </c>
      <c r="I1012" s="588" t="s">
        <v>20</v>
      </c>
      <c r="J1012" s="588" t="s">
        <v>22</v>
      </c>
      <c r="K1012" s="591" t="s">
        <v>1088</v>
      </c>
      <c r="L1012" s="588" t="s">
        <v>168</v>
      </c>
      <c r="M1012" s="594" t="s">
        <v>222</v>
      </c>
      <c r="N1012" s="597" t="str">
        <f>+IF(M1012="","",IF(M1012=$BO$15,$BN$15,IF(M1012=$BO$16,$BN$16,IF(M1012=$BO$17,$BN$17,IF(M1012=$BO$18,$BN$18,IF(M1012=$BO$19,$BN$19))))))</f>
        <v>Muy Alta</v>
      </c>
      <c r="O1012" s="600">
        <f>+IF(M1012="","",IF(M1012=$BO$15,$BR$15,IF(M1012=$BO$16,$BR$16,IF(M1012=$BO$17,$BR$17,IF(M1012=$BO$18,$BR$18,IF(M1012=$BO$19,$BR$19))))))</f>
        <v>1</v>
      </c>
      <c r="P1012" s="594" t="s">
        <v>212</v>
      </c>
      <c r="Q1012" s="603" t="str">
        <f>+IF(P1012="","",IF(P1012='[27]Mapa de Calor inherente'!$AF$6,'[27]Mapa de Calor inherente'!$AD$6,IF(P1012='[27]Mapa de Calor inherente'!$AF$7,'[27]Mapa de Calor inherente'!$AD$7,IF(P1012='[27]Mapa de Calor inherente'!$AF$8,'[27]Mapa de Calor inherente'!$AD$8,IF(P1012='[27]Mapa de Calor inherente'!$AF$9,'[27]Mapa de Calor inherente'!$AD$9,IF(P1012='[27]Mapa de Calor inherente'!$AF$10,'[27]Mapa de Calor inherente'!$AD$10,IF(P1012='[27]Mapa de Calor inherente'!$AG$6,'[27]Mapa de Calor inherente'!$AD$6,IF(P1012='[27]Mapa de Calor inherente'!$AG$7,'[27]Mapa de Calor inherente'!$AD$7,IF(P1012='[27]Mapa de Calor inherente'!$AG$8,'[27]Mapa de Calor inherente'!$AD$8,IF(P1012='[27]Mapa de Calor inherente'!$AG$9,'[27]Mapa de Calor inherente'!$AD$9,IF(P1012='[27]Mapa de Calor inherente'!$AG$10,'[27]Mapa de Calor inherente'!$AD$10,IF(P1012='[27]Mapa de Calor inherente'!$AD$8,'[27]Mapa de Calor inherente'!$AD$8,IF(P1012='[27]Mapa de Calor inherente'!$AD$9,'[27]Mapa de Calor inherente'!$AD$9,IF(P1012='[27]Mapa de Calor inherente'!$AD$10,'[27]Mapa de Calor inherente'!$AD$10))))))))))))))</f>
        <v>Moderado</v>
      </c>
      <c r="R1012" s="600">
        <f>+IF(P1012="","",IF(P1012='[27]Mapa de Calor inherente'!$AF$6,'[27]Mapa de Calor inherente'!$AE$6,IF(P1012='[27]Mapa de Calor inherente'!$AF$7,'[27]Mapa de Calor inherente'!$AE$7,IF(P1012='[27]Mapa de Calor inherente'!$AF$8,'[27]Mapa de Calor inherente'!$AE$8,IF(P1012='[27]Mapa de Calor inherente'!$AF$9,'[27]Mapa de Calor inherente'!$AE$9,IF(P1012='[27]Mapa de Calor inherente'!$AF$10,'[27]Mapa de Calor inherente'!$AE$10,IF(P1012='[27]Mapa de Calor inherente'!$AG$6,'[27]Mapa de Calor inherente'!$AE$6,IF(P1012='[27]Mapa de Calor inherente'!$AG$7,'[27]Mapa de Calor inherente'!$AE$7,IF(P1012='[27]Mapa de Calor inherente'!$AG$8,'[27]Mapa de Calor inherente'!$AE$8,IF(P1012='[27]Mapa de Calor inherente'!$AG$9,'[27]Mapa de Calor inherente'!$AE$9,IF(P1012='[27]Mapa de Calor inherente'!$AG$10,'[27]Mapa de Calor inherente'!$AE$10,IF(P1012='[27]Mapa de Calor inherente'!$AD$8,'[27]Mapa de Calor inherente'!$AE$8,IF(P1012='[27]Mapa de Calor inherente'!$AD$9,'[27]Mapa de Calor inherente'!$AE$9,IF(P1012='[27]Mapa de Calor inherente'!$AD$10,'[27]Mapa de Calor inherente'!$AE$10))))))))))))))</f>
        <v>0.6</v>
      </c>
      <c r="S1012" s="292"/>
      <c r="T1012" s="603" t="str">
        <f>+IF(N1012=$BB$17,IF(Q1012=$BC$16,$BC$17,IF(Q1012=$BD$16,$BD$17,IF(Q1012=$BE$16,$BE$17,IF(Q1012=$BF$16,$BF$17,IF(Q1012=$BG$16,$BG$17))))),IF(N1012=$BB$18,IF(Q1012=$BC$16,$BC$18,IF(Q1012=$BD$16,$BD$18,IF(Q1012=$BE$16,$BE$18,IF(Q1012=$BF$16,$BF$18,IF(Q1012=$BG$16,$BG$18))))),IF(N1012=$BB$19,IF(Q1012=$BC$16,$BC$19,IF(Q1012=$BD$16,$BD$19,IF(Q1012=$BE$16,$BE$19,IF(Q1012=$BF$16,$BF$19,IF(Q1012=$BG$16,$BG$19))))),IF(N1012=$BB$20,IF(Q1012=$BC$16,$BC$20,IF(Q1012=$BD$16,$BD$20,IF(Q1012=$BE$16,$BE$20,IF(Q1012=$BF$16,$BF$20,IF(Q1012=$BG$16,$BG$20))))),IF(N1012=$BB$21,IF(Q1012=$BC$16,$BC$21,IF(Q1012=$BD$16,$BD$21,IF(Q1012=$BE$16,$BE$21,IF(Q1012=$BF$16,$BF$21,IF(Q1012=$BG$16,$BG$21))))),"")))))</f>
        <v>Alto</v>
      </c>
      <c r="U1012" s="139" t="s">
        <v>171</v>
      </c>
      <c r="V1012" s="525" t="s">
        <v>1089</v>
      </c>
      <c r="W1012" s="313" t="s">
        <v>40</v>
      </c>
      <c r="X1012" s="314">
        <f>IF(W1012=[27]Listas!$B$46,[27]Listas!$C$46,IF(W1012=[27]Listas!$B$47,[27]Listas!$C$47,IF(W1012=[27]Listas!$B$48,[27]Listas!$C$48,"")))</f>
        <v>0.25</v>
      </c>
      <c r="Y1012" s="315" t="str">
        <f>IF(OR(W1012=[27]Listas!$F$53,W1012=[27]Listas!$F$54),[27]Listas!$G$53,IF(W1012=[27]Listas!$F$55,[27]Listas!$G$55,""))</f>
        <v>Probabilidad</v>
      </c>
      <c r="Z1012" s="313" t="s">
        <v>43</v>
      </c>
      <c r="AA1012" s="314">
        <f>+IF(Z1012=[27]Listas!$E$46,[27]Listas!$F$46,IF(Z1012=[27]Listas!$E$47,[27]Listas!$F$47,""))</f>
        <v>0.15</v>
      </c>
      <c r="AB1012" s="181">
        <f>IFERROR(X1012+AA1012,"")</f>
        <v>0.4</v>
      </c>
      <c r="AC1012" s="313" t="s">
        <v>57</v>
      </c>
      <c r="AD1012" s="313" t="s">
        <v>58</v>
      </c>
      <c r="AE1012" s="317" t="s">
        <v>59</v>
      </c>
      <c r="AF1012" s="299" t="str">
        <f t="shared" si="149"/>
        <v>Media</v>
      </c>
      <c r="AG1012" s="141">
        <f>IF(Y1012=[27]Listas!$G$53,O1012-(O1012*AB1012),O1012)</f>
        <v>0.6</v>
      </c>
      <c r="AH1012" s="561">
        <f>+IF(AG1021="","",AG1021)</f>
        <v>7.7759999999999996E-2</v>
      </c>
      <c r="AI1012" s="299" t="str">
        <f>IF(AJ1012="","",IF(AJ1012&lt;=20%,"Leve",IF(AJ1012&lt;=40%,"Menor",IF(AJ1012&lt;=60%,"Moderado",IF(AJ1012&lt;=80%,"Mayor","Catastrófico")))))</f>
        <v>Moderado</v>
      </c>
      <c r="AJ1012" s="141">
        <f>IF(Y1012=[27]Listas!$G$55,R1012-(R1012*AB1012),R1012)</f>
        <v>0.6</v>
      </c>
      <c r="AK1012" s="561">
        <f>+IF(AJ1021="","",AJ1021)</f>
        <v>0.6</v>
      </c>
      <c r="AL1012" s="564" t="str">
        <f>+IF(AH1012=0,"",IF(AH1012&lt;=$BA$21,$BB$21,IF(AH1012&lt;=$BA$20,$BB$20,IF(AH1012&lt;=$BA$19,$BB$19,IF(AH1012&lt;=$BA$18,$BB$18,IF(AH1012&lt;=$BA$17,$BB$17,""))))))</f>
        <v>Muy Baja</v>
      </c>
      <c r="AM1012" s="564" t="str">
        <f>+IF(AK1012=0,"",IF(AK1012&lt;=$BC$15,$BC$16,IF(AK1012&lt;=$BD$15,$BD$16,IF(AK1012&lt;=$BE$15,$BE$16,IF(AK1012&lt;=$BF$15,$BF$16,IF(AK1012&lt;=$BG$15,$BG$16,""))))))</f>
        <v>Moderado</v>
      </c>
      <c r="AN1012" s="564" t="str">
        <f>IF(AL1012=$BB$17,IF(AM1012=$BC$16,$BC$17,IF(AM1012=$BD$16,$BD$17,IF(AM1012=$BE$16,$BE$17,IF(AM1012=$BF$16,$BF$17,IF(AM1012=$BG$16,$BG$17))))),IF(AL1012=$BB$18,IF(AM1012=$BC$16,$BC$18,IF(AM1012=$BD$16,$BD$18,IF(AM1012=$BE$16,$BE$18,IF(AM1012=$BF$16,$BF$18,IF(AM1012=$BG$16,$BG$18))))),IF(AL1012=$BB$19,IF(AM1012=$BC$16,$BC$19,IF(AM1012=$BD$16,$BD$19,IF(AM1012=$BE$16,$BE$19,IF(AM1012=$BF$16,$BF$19,IF(AM1012=$BG$16,$BG$19))))),IF(AL1012=$BB$20,IF(AM1012=$BC$16,$BC$20,IF(AM1012=$BD$16,$BD$20,IF(AM1012=$BE$16,$BE$20,IF(AM1012=$BF$16,$BF$20,IF(AM1012=$BG$16,$BG$20))))),IF(AL1012=$BB$21,IF(AM1012=$BC$16,$BC$21,IF(AM1012=$BD$16,$BD$21,IF(AM1012=$BE$16,$BE$21,IF(AM1012=$BF$16,$BF$21,IF(AM1012=$BG$16,$BG$21))))),"")))))</f>
        <v>Moderado</v>
      </c>
      <c r="AO1012" s="567" t="str">
        <f>IF(AP1012="","",IF(AP1012=[27]Listas!$F$61,[27]Listas!$G$61,IF(AP1012=[27]Listas!$F$63,[27]Listas!$G$63,IF(AP1012=[27]Listas!$F$64,[27]Listas!$G$64))))</f>
        <v>Requiere Plan de Acción</v>
      </c>
      <c r="AP1012" s="570" t="str">
        <f>IF(AN1012="","",IF(OR(AN1012=[27]Listas!$E$61,AN1012=[27]Listas!$E$62),[27]Listas!$F$61,IF(AN1012=[27]Listas!$E$63,[27]Listas!$F$63,IF(AN1012=[27]Listas!$E$64,[27]Listas!$F$64))))</f>
        <v>Aceptar o reducir el riesgo</v>
      </c>
      <c r="AQ1012" s="342" t="s">
        <v>80</v>
      </c>
      <c r="AR1012" s="123" t="s">
        <v>1090</v>
      </c>
    </row>
    <row r="1013" spans="2:44" ht="168" customHeight="1" thickTop="1" thickBot="1" x14ac:dyDescent="0.4">
      <c r="B1013" s="537"/>
      <c r="C1013" s="559"/>
      <c r="D1013" s="574"/>
      <c r="E1013" s="577"/>
      <c r="F1013" s="580"/>
      <c r="G1013" s="583"/>
      <c r="H1013" s="586"/>
      <c r="I1013" s="589"/>
      <c r="J1013" s="589"/>
      <c r="K1013" s="592"/>
      <c r="L1013" s="589"/>
      <c r="M1013" s="595"/>
      <c r="N1013" s="598"/>
      <c r="O1013" s="601"/>
      <c r="P1013" s="595"/>
      <c r="Q1013" s="604"/>
      <c r="R1013" s="601"/>
      <c r="S1013" s="286"/>
      <c r="T1013" s="604"/>
      <c r="U1013" s="142" t="s">
        <v>174</v>
      </c>
      <c r="V1013" s="506" t="s">
        <v>1091</v>
      </c>
      <c r="W1013" s="331" t="s">
        <v>40</v>
      </c>
      <c r="X1013" s="320">
        <f>IF(W1013=[27]Listas!$B$46,[27]Listas!$C$46,IF(W1013=[27]Listas!$B$47,[27]Listas!$C$47,IF(W1013=[27]Listas!$B$48,[27]Listas!$C$48,"")))</f>
        <v>0.25</v>
      </c>
      <c r="Y1013" s="321" t="str">
        <f>IF(OR(W1013=[27]Listas!$F$53,W1013=[27]Listas!$F$54),[27]Listas!$G$53,IF(W1013=[27]Listas!$F$55,[27]Listas!$G$55,""))</f>
        <v>Probabilidad</v>
      </c>
      <c r="Z1013" s="331" t="s">
        <v>43</v>
      </c>
      <c r="AA1013" s="182">
        <f>+IF(Z1013=[27]Listas!$E$46,[27]Listas!$F$46,IF(Z1013=[27]Listas!$E$47,[27]Listas!$F$47,""))</f>
        <v>0.15</v>
      </c>
      <c r="AB1013" s="183">
        <f>IFERROR(X1013+AA1013,"")</f>
        <v>0.4</v>
      </c>
      <c r="AC1013" s="319" t="s">
        <v>57</v>
      </c>
      <c r="AD1013" s="319" t="s">
        <v>58</v>
      </c>
      <c r="AE1013" s="323" t="s">
        <v>59</v>
      </c>
      <c r="AF1013" s="305" t="str">
        <f t="shared" si="149"/>
        <v>Baja</v>
      </c>
      <c r="AG1013" s="145">
        <f>IF(Y1013=[27]Listas!$G$53,AG1012-(AG1012*AB1013),AG1012)</f>
        <v>0.36</v>
      </c>
      <c r="AH1013" s="562"/>
      <c r="AI1013" s="305" t="str">
        <f t="shared" si="154"/>
        <v>Moderado</v>
      </c>
      <c r="AJ1013" s="145">
        <f>IF(Y1013=[27]Listas!$G$55,AJ1012-(AJ1012*AB1013),AJ1012)</f>
        <v>0.6</v>
      </c>
      <c r="AK1013" s="562"/>
      <c r="AL1013" s="565"/>
      <c r="AM1013" s="565"/>
      <c r="AN1013" s="565"/>
      <c r="AO1013" s="568"/>
      <c r="AP1013" s="571"/>
      <c r="AQ1013" s="343" t="s">
        <v>90</v>
      </c>
      <c r="AR1013" s="124" t="s">
        <v>1092</v>
      </c>
    </row>
    <row r="1014" spans="2:44" ht="141.75" customHeight="1" thickTop="1" thickBot="1" x14ac:dyDescent="0.4">
      <c r="B1014" s="537"/>
      <c r="C1014" s="559"/>
      <c r="D1014" s="574"/>
      <c r="E1014" s="577"/>
      <c r="F1014" s="580"/>
      <c r="G1014" s="583"/>
      <c r="H1014" s="586"/>
      <c r="I1014" s="589"/>
      <c r="J1014" s="589"/>
      <c r="K1014" s="592"/>
      <c r="L1014" s="589"/>
      <c r="M1014" s="595"/>
      <c r="N1014" s="598"/>
      <c r="O1014" s="601"/>
      <c r="P1014" s="595"/>
      <c r="Q1014" s="604"/>
      <c r="R1014" s="601"/>
      <c r="S1014" s="287"/>
      <c r="T1014" s="604"/>
      <c r="U1014" s="142" t="s">
        <v>180</v>
      </c>
      <c r="V1014" s="506" t="s">
        <v>1093</v>
      </c>
      <c r="W1014" s="331" t="s">
        <v>40</v>
      </c>
      <c r="X1014" s="320">
        <f>IF(W1014=[27]Listas!$B$46,[27]Listas!$C$46,IF(W1014=[27]Listas!$B$47,[27]Listas!$C$47,IF(W1014=[27]Listas!$B$48,[27]Listas!$C$48,"")))</f>
        <v>0.25</v>
      </c>
      <c r="Y1014" s="321" t="str">
        <f>IF(OR(W1014=[27]Listas!$F$53,W1014=[27]Listas!$F$54),[27]Listas!$G$53,IF(W1014=[27]Listas!$F$55,[27]Listas!$G$55,""))</f>
        <v>Probabilidad</v>
      </c>
      <c r="Z1014" s="331" t="s">
        <v>43</v>
      </c>
      <c r="AA1014" s="182">
        <f>+IF(Z1014=[27]Listas!$E$46,[27]Listas!$F$46,IF(Z1014=[27]Listas!$E$47,[27]Listas!$F$47,""))</f>
        <v>0.15</v>
      </c>
      <c r="AB1014" s="183">
        <f>IFERROR(X1014+AA1014,"")</f>
        <v>0.4</v>
      </c>
      <c r="AC1014" s="319" t="s">
        <v>57</v>
      </c>
      <c r="AD1014" s="319" t="s">
        <v>58</v>
      </c>
      <c r="AE1014" s="323" t="s">
        <v>59</v>
      </c>
      <c r="AF1014" s="305" t="str">
        <f t="shared" si="149"/>
        <v>Baja</v>
      </c>
      <c r="AG1014" s="145">
        <f>IF(Y1014=[27]Listas!$G$53,AG1013-(AG1013*AB1014),AG1013)</f>
        <v>0.216</v>
      </c>
      <c r="AH1014" s="562"/>
      <c r="AI1014" s="305" t="str">
        <f t="shared" si="154"/>
        <v>Moderado</v>
      </c>
      <c r="AJ1014" s="145">
        <f>IF(Y1014=[27]Listas!$G$55,AJ1013-(AJ1013*AB1014),AJ1013)</f>
        <v>0.6</v>
      </c>
      <c r="AK1014" s="562"/>
      <c r="AL1014" s="565"/>
      <c r="AM1014" s="565"/>
      <c r="AN1014" s="565"/>
      <c r="AO1014" s="568"/>
      <c r="AP1014" s="571"/>
      <c r="AQ1014" s="343"/>
      <c r="AR1014" s="191"/>
    </row>
    <row r="1015" spans="2:44" ht="139.5" customHeight="1" thickTop="1" thickBot="1" x14ac:dyDescent="0.4">
      <c r="B1015" s="537"/>
      <c r="C1015" s="559"/>
      <c r="D1015" s="574"/>
      <c r="E1015" s="577"/>
      <c r="F1015" s="580"/>
      <c r="G1015" s="583"/>
      <c r="H1015" s="586"/>
      <c r="I1015" s="589"/>
      <c r="J1015" s="589"/>
      <c r="K1015" s="592"/>
      <c r="L1015" s="589"/>
      <c r="M1015" s="595"/>
      <c r="N1015" s="598"/>
      <c r="O1015" s="601"/>
      <c r="P1015" s="595"/>
      <c r="Q1015" s="604"/>
      <c r="R1015" s="601"/>
      <c r="S1015" s="287"/>
      <c r="T1015" s="604"/>
      <c r="U1015" s="142" t="s">
        <v>190</v>
      </c>
      <c r="V1015" s="506" t="s">
        <v>1094</v>
      </c>
      <c r="W1015" s="331" t="s">
        <v>40</v>
      </c>
      <c r="X1015" s="320">
        <f>IF(W1015=[27]Listas!$B$46,[27]Listas!$C$46,IF(W1015=[27]Listas!$B$47,[27]Listas!$C$47,IF(W1015=[27]Listas!$B$48,[27]Listas!$C$48,"")))</f>
        <v>0.25</v>
      </c>
      <c r="Y1015" s="321" t="str">
        <f>IF(OR(W1015=[27]Listas!$F$53,W1015=[27]Listas!$F$54),[27]Listas!$G$53,IF(W1015=[27]Listas!$F$55,[27]Listas!$G$55,""))</f>
        <v>Probabilidad</v>
      </c>
      <c r="Z1015" s="331" t="s">
        <v>43</v>
      </c>
      <c r="AA1015" s="182">
        <f>+IF(Z1015=[27]Listas!$E$46,[27]Listas!$F$46,IF(Z1015=[27]Listas!$E$47,[27]Listas!$F$47,""))</f>
        <v>0.15</v>
      </c>
      <c r="AB1015" s="183">
        <f t="shared" ref="AB1015:AB1021" si="156">IFERROR(X1015+AA1015,"")</f>
        <v>0.4</v>
      </c>
      <c r="AC1015" s="319" t="s">
        <v>57</v>
      </c>
      <c r="AD1015" s="319" t="s">
        <v>58</v>
      </c>
      <c r="AE1015" s="323" t="s">
        <v>59</v>
      </c>
      <c r="AF1015" s="305" t="str">
        <f t="shared" si="149"/>
        <v>Muy baja</v>
      </c>
      <c r="AG1015" s="145">
        <f>IF(Y1015=[27]Listas!$G$53,AG1014-(AG1014*AB1015),AG1014)</f>
        <v>0.12959999999999999</v>
      </c>
      <c r="AH1015" s="562"/>
      <c r="AI1015" s="305" t="str">
        <f t="shared" si="154"/>
        <v>Moderado</v>
      </c>
      <c r="AJ1015" s="145">
        <f>IF(Y1015=[27]Listas!$G$55,AJ1014-(AJ1014*AB1015),AJ1014)</f>
        <v>0.6</v>
      </c>
      <c r="AK1015" s="562"/>
      <c r="AL1015" s="565"/>
      <c r="AM1015" s="565"/>
      <c r="AN1015" s="565"/>
      <c r="AO1015" s="568"/>
      <c r="AP1015" s="571"/>
      <c r="AQ1015" s="344"/>
      <c r="AR1015" s="191"/>
    </row>
    <row r="1016" spans="2:44" ht="120" customHeight="1" thickTop="1" thickBot="1" x14ac:dyDescent="0.4">
      <c r="B1016" s="537"/>
      <c r="C1016" s="559"/>
      <c r="D1016" s="574"/>
      <c r="E1016" s="577"/>
      <c r="F1016" s="580"/>
      <c r="G1016" s="583"/>
      <c r="H1016" s="586"/>
      <c r="I1016" s="589"/>
      <c r="J1016" s="589"/>
      <c r="K1016" s="592"/>
      <c r="L1016" s="589"/>
      <c r="M1016" s="595"/>
      <c r="N1016" s="598"/>
      <c r="O1016" s="601"/>
      <c r="P1016" s="595"/>
      <c r="Q1016" s="604"/>
      <c r="R1016" s="601"/>
      <c r="S1016" s="287"/>
      <c r="T1016" s="604"/>
      <c r="U1016" s="142" t="s">
        <v>198</v>
      </c>
      <c r="V1016" s="506" t="s">
        <v>1095</v>
      </c>
      <c r="W1016" s="331" t="s">
        <v>40</v>
      </c>
      <c r="X1016" s="320">
        <f>IF(W1016=[27]Listas!$B$46,[27]Listas!$C$46,IF(W1016=[27]Listas!$B$47,[27]Listas!$C$47,IF(W1016=[27]Listas!$B$48,[27]Listas!$C$48,"")))</f>
        <v>0.25</v>
      </c>
      <c r="Y1016" s="321" t="str">
        <f>IF(OR(W1016=[27]Listas!$F$53,W1016=[27]Listas!$F$54),[27]Listas!$G$53,IF(W1016=[27]Listas!$F$55,[27]Listas!$G$55,""))</f>
        <v>Probabilidad</v>
      </c>
      <c r="Z1016" s="331" t="s">
        <v>43</v>
      </c>
      <c r="AA1016" s="182">
        <f>+IF(Z1016=[27]Listas!$E$46,[27]Listas!$F$46,IF(Z1016=[27]Listas!$E$47,[27]Listas!$F$47,""))</f>
        <v>0.15</v>
      </c>
      <c r="AB1016" s="183">
        <f t="shared" si="156"/>
        <v>0.4</v>
      </c>
      <c r="AC1016" s="319" t="s">
        <v>57</v>
      </c>
      <c r="AD1016" s="319" t="s">
        <v>58</v>
      </c>
      <c r="AE1016" s="323" t="s">
        <v>59</v>
      </c>
      <c r="AF1016" s="305" t="str">
        <f t="shared" si="149"/>
        <v>Muy baja</v>
      </c>
      <c r="AG1016" s="145">
        <f>IF(Y1016=[27]Listas!$G$53,AG1015-(AG1015*AB1016),AG1015)</f>
        <v>7.7759999999999996E-2</v>
      </c>
      <c r="AH1016" s="562"/>
      <c r="AI1016" s="305" t="str">
        <f t="shared" si="154"/>
        <v>Moderado</v>
      </c>
      <c r="AJ1016" s="145">
        <f>IF(Y1016=[27]Listas!$G$55,AJ1015-(AJ1015*AB1016),AJ1015)</f>
        <v>0.6</v>
      </c>
      <c r="AK1016" s="562"/>
      <c r="AL1016" s="565"/>
      <c r="AM1016" s="565"/>
      <c r="AN1016" s="565"/>
      <c r="AO1016" s="568"/>
      <c r="AP1016" s="571"/>
      <c r="AQ1016" s="343"/>
      <c r="AR1016" s="191"/>
    </row>
    <row r="1017" spans="2:44" ht="15.75" hidden="1" customHeight="1" thickTop="1" thickBot="1" x14ac:dyDescent="0.4">
      <c r="B1017" s="537"/>
      <c r="C1017" s="559"/>
      <c r="D1017" s="574"/>
      <c r="E1017" s="577"/>
      <c r="F1017" s="580"/>
      <c r="G1017" s="583"/>
      <c r="H1017" s="586"/>
      <c r="I1017" s="589"/>
      <c r="J1017" s="589"/>
      <c r="K1017" s="592"/>
      <c r="L1017" s="589"/>
      <c r="M1017" s="595"/>
      <c r="N1017" s="598"/>
      <c r="O1017" s="601"/>
      <c r="P1017" s="595"/>
      <c r="Q1017" s="604"/>
      <c r="R1017" s="601"/>
      <c r="S1017" s="288"/>
      <c r="T1017" s="604"/>
      <c r="U1017" s="142" t="s">
        <v>208</v>
      </c>
      <c r="V1017" s="403"/>
      <c r="W1017" s="331"/>
      <c r="X1017" s="320" t="str">
        <f>IF(W1017=[27]Listas!$B$46,[27]Listas!$C$46,IF(W1017=[27]Listas!$B$47,[27]Listas!$C$47,IF(W1017=[27]Listas!$B$48,[27]Listas!$C$48,"")))</f>
        <v/>
      </c>
      <c r="Y1017" s="321" t="str">
        <f>IF(OR(W1017=[27]Listas!$F$53,W1017=[27]Listas!$F$54),[27]Listas!$G$53,IF(W1017=[27]Listas!$F$55,[27]Listas!$G$55,""))</f>
        <v/>
      </c>
      <c r="Z1017" s="331"/>
      <c r="AA1017" s="182" t="str">
        <f>+IF(Z1017=[27]Listas!$E$46,[27]Listas!$F$46,IF(Z1017=[27]Listas!$E$47,[27]Listas!$F$47,""))</f>
        <v/>
      </c>
      <c r="AB1017" s="183" t="str">
        <f t="shared" si="156"/>
        <v/>
      </c>
      <c r="AC1017" s="319"/>
      <c r="AD1017" s="319"/>
      <c r="AE1017" s="323"/>
      <c r="AF1017" s="305" t="str">
        <f t="shared" si="149"/>
        <v>Muy baja</v>
      </c>
      <c r="AG1017" s="145">
        <f>IF(Y1017=[27]Listas!$G$53,AG1016-(AG1016*AB1017),AG1016)</f>
        <v>7.7759999999999996E-2</v>
      </c>
      <c r="AH1017" s="562"/>
      <c r="AI1017" s="305" t="str">
        <f t="shared" si="154"/>
        <v>Moderado</v>
      </c>
      <c r="AJ1017" s="145">
        <f>IF(Y1017=[27]Listas!$G$55,AJ1016-(AJ1016*AB1017),AJ1016)</f>
        <v>0.6</v>
      </c>
      <c r="AK1017" s="562"/>
      <c r="AL1017" s="565"/>
      <c r="AM1017" s="565"/>
      <c r="AN1017" s="565"/>
      <c r="AO1017" s="568"/>
      <c r="AP1017" s="571"/>
      <c r="AQ1017" s="344"/>
      <c r="AR1017" s="191"/>
    </row>
    <row r="1018" spans="2:44" ht="15" hidden="1" customHeight="1" thickTop="1" thickBot="1" x14ac:dyDescent="0.4">
      <c r="B1018" s="537"/>
      <c r="C1018" s="559"/>
      <c r="D1018" s="574"/>
      <c r="E1018" s="577"/>
      <c r="F1018" s="580"/>
      <c r="G1018" s="583"/>
      <c r="H1018" s="586"/>
      <c r="I1018" s="589"/>
      <c r="J1018" s="589"/>
      <c r="K1018" s="592"/>
      <c r="L1018" s="589"/>
      <c r="M1018" s="595"/>
      <c r="N1018" s="598"/>
      <c r="O1018" s="601"/>
      <c r="P1018" s="595"/>
      <c r="Q1018" s="604"/>
      <c r="R1018" s="601"/>
      <c r="S1018" s="289"/>
      <c r="T1018" s="604"/>
      <c r="U1018" s="142" t="s">
        <v>215</v>
      </c>
      <c r="V1018" s="399"/>
      <c r="W1018" s="331"/>
      <c r="X1018" s="320" t="str">
        <f>IF(W1018=[27]Listas!$B$46,[27]Listas!$C$46,IF(W1018=[27]Listas!$B$47,[27]Listas!$C$47,IF(W1018=[27]Listas!$B$48,[27]Listas!$C$48,"")))</f>
        <v/>
      </c>
      <c r="Y1018" s="321" t="str">
        <f>IF(OR(W1018=[27]Listas!$F$53,W1018=[27]Listas!$F$54),[27]Listas!$G$53,IF(W1018=[27]Listas!$F$55,[27]Listas!$G$55,""))</f>
        <v/>
      </c>
      <c r="Z1018" s="331"/>
      <c r="AA1018" s="182" t="str">
        <f>+IF(Z1018=[27]Listas!$E$46,[27]Listas!$F$46,IF(Z1018=[27]Listas!$E$47,[27]Listas!$F$47,""))</f>
        <v/>
      </c>
      <c r="AB1018" s="183" t="str">
        <f t="shared" si="156"/>
        <v/>
      </c>
      <c r="AC1018" s="319"/>
      <c r="AD1018" s="322"/>
      <c r="AE1018" s="323"/>
      <c r="AF1018" s="305" t="str">
        <f t="shared" si="149"/>
        <v>Muy baja</v>
      </c>
      <c r="AG1018" s="145">
        <f>IF(Y1018=[27]Listas!$G$53,AG1017-(AG1017*AB1018),AG1017)</f>
        <v>7.7759999999999996E-2</v>
      </c>
      <c r="AH1018" s="562"/>
      <c r="AI1018" s="305" t="str">
        <f t="shared" si="154"/>
        <v>Moderado</v>
      </c>
      <c r="AJ1018" s="145">
        <f>IF(Y1018=[27]Listas!$G$55,AJ1017-(AJ1017*AB1018),AJ1017)</f>
        <v>0.6</v>
      </c>
      <c r="AK1018" s="562"/>
      <c r="AL1018" s="565"/>
      <c r="AM1018" s="565"/>
      <c r="AN1018" s="565"/>
      <c r="AO1018" s="568"/>
      <c r="AP1018" s="571"/>
      <c r="AQ1018" s="345"/>
      <c r="AR1018" s="191"/>
    </row>
    <row r="1019" spans="2:44" ht="15" hidden="1" customHeight="1" thickTop="1" thickBot="1" x14ac:dyDescent="0.4">
      <c r="B1019" s="537"/>
      <c r="C1019" s="559"/>
      <c r="D1019" s="574"/>
      <c r="E1019" s="577"/>
      <c r="F1019" s="580"/>
      <c r="G1019" s="583"/>
      <c r="H1019" s="586"/>
      <c r="I1019" s="589"/>
      <c r="J1019" s="589"/>
      <c r="K1019" s="592"/>
      <c r="L1019" s="589"/>
      <c r="M1019" s="595"/>
      <c r="N1019" s="598"/>
      <c r="O1019" s="601"/>
      <c r="P1019" s="595"/>
      <c r="Q1019" s="604"/>
      <c r="R1019" s="601"/>
      <c r="S1019" s="289"/>
      <c r="T1019" s="604"/>
      <c r="U1019" s="142" t="s">
        <v>220</v>
      </c>
      <c r="V1019" s="399"/>
      <c r="W1019" s="331"/>
      <c r="X1019" s="320" t="str">
        <f>IF(W1019=[27]Listas!$B$46,[27]Listas!$C$46,IF(W1019=[27]Listas!$B$47,[27]Listas!$C$47,IF(W1019=[27]Listas!$B$48,[27]Listas!$C$48,"")))</f>
        <v/>
      </c>
      <c r="Y1019" s="321" t="str">
        <f>IF(OR(W1019=[27]Listas!$F$53,W1019=[27]Listas!$F$54),[27]Listas!$G$53,IF(W1019=[27]Listas!$F$55,[27]Listas!$G$55,""))</f>
        <v/>
      </c>
      <c r="Z1019" s="331"/>
      <c r="AA1019" s="182" t="str">
        <f>+IF(Z1019=[27]Listas!$E$46,[27]Listas!$F$46,IF(Z1019=[27]Listas!$E$47,[27]Listas!$F$47,""))</f>
        <v/>
      </c>
      <c r="AB1019" s="183" t="str">
        <f t="shared" si="156"/>
        <v/>
      </c>
      <c r="AC1019" s="319"/>
      <c r="AD1019" s="322"/>
      <c r="AE1019" s="323"/>
      <c r="AF1019" s="305" t="str">
        <f t="shared" si="149"/>
        <v>Muy baja</v>
      </c>
      <c r="AG1019" s="145">
        <f>IF(Y1019=[27]Listas!$G$53,AG1018-(AG1018*AB1019),AG1018)</f>
        <v>7.7759999999999996E-2</v>
      </c>
      <c r="AH1019" s="562"/>
      <c r="AI1019" s="305" t="str">
        <f t="shared" si="154"/>
        <v>Moderado</v>
      </c>
      <c r="AJ1019" s="145">
        <f>IF(Y1019=[27]Listas!$G$55,AJ1018-(AJ1018*AB1019),AJ1018)</f>
        <v>0.6</v>
      </c>
      <c r="AK1019" s="562"/>
      <c r="AL1019" s="565"/>
      <c r="AM1019" s="565"/>
      <c r="AN1019" s="565"/>
      <c r="AO1019" s="568"/>
      <c r="AP1019" s="571"/>
      <c r="AQ1019" s="343"/>
      <c r="AR1019" s="191"/>
    </row>
    <row r="1020" spans="2:44" ht="15" hidden="1" customHeight="1" thickTop="1" thickBot="1" x14ac:dyDescent="0.4">
      <c r="B1020" s="537"/>
      <c r="C1020" s="559"/>
      <c r="D1020" s="574"/>
      <c r="E1020" s="577"/>
      <c r="F1020" s="580"/>
      <c r="G1020" s="583"/>
      <c r="H1020" s="586"/>
      <c r="I1020" s="589"/>
      <c r="J1020" s="589"/>
      <c r="K1020" s="592"/>
      <c r="L1020" s="589"/>
      <c r="M1020" s="595"/>
      <c r="N1020" s="598"/>
      <c r="O1020" s="601"/>
      <c r="P1020" s="595"/>
      <c r="Q1020" s="604"/>
      <c r="R1020" s="601"/>
      <c r="S1020" s="289"/>
      <c r="T1020" s="604"/>
      <c r="U1020" s="142" t="s">
        <v>223</v>
      </c>
      <c r="V1020" s="399"/>
      <c r="W1020" s="331"/>
      <c r="X1020" s="320" t="str">
        <f>IF(W1020=[27]Listas!$B$46,[27]Listas!$C$46,IF(W1020=[27]Listas!$B$47,[27]Listas!$C$47,IF(W1020=[27]Listas!$B$48,[27]Listas!$C$48,"")))</f>
        <v/>
      </c>
      <c r="Y1020" s="321" t="str">
        <f>IF(OR(W1020=[27]Listas!$F$53,W1020=[27]Listas!$F$54),[27]Listas!$G$53,IF(W1020=[27]Listas!$F$55,[27]Listas!$G$55,""))</f>
        <v/>
      </c>
      <c r="Z1020" s="331"/>
      <c r="AA1020" s="182" t="str">
        <f>+IF(Z1020=[27]Listas!$E$46,[27]Listas!$F$46,IF(Z1020=[27]Listas!$E$47,[27]Listas!$F$47,""))</f>
        <v/>
      </c>
      <c r="AB1020" s="183" t="str">
        <f t="shared" si="156"/>
        <v/>
      </c>
      <c r="AC1020" s="319"/>
      <c r="AD1020" s="322"/>
      <c r="AE1020" s="323"/>
      <c r="AF1020" s="305" t="str">
        <f t="shared" si="149"/>
        <v>Muy baja</v>
      </c>
      <c r="AG1020" s="145">
        <f>IF(Y1020=[27]Listas!$G$53,AG1019-(AG1019*AB1020),AG1019)</f>
        <v>7.7759999999999996E-2</v>
      </c>
      <c r="AH1020" s="562"/>
      <c r="AI1020" s="305" t="str">
        <f t="shared" si="154"/>
        <v>Moderado</v>
      </c>
      <c r="AJ1020" s="145">
        <f>IF(Y1020=[27]Listas!$G$55,AJ1019-(AJ1019*AB1020),AJ1019)</f>
        <v>0.6</v>
      </c>
      <c r="AK1020" s="562"/>
      <c r="AL1020" s="565"/>
      <c r="AM1020" s="565"/>
      <c r="AN1020" s="565"/>
      <c r="AO1020" s="568"/>
      <c r="AP1020" s="571"/>
      <c r="AQ1020" s="344"/>
      <c r="AR1020" s="191"/>
    </row>
    <row r="1021" spans="2:44" ht="15.75" hidden="1" customHeight="1" thickTop="1" thickBot="1" x14ac:dyDescent="0.4">
      <c r="B1021" s="537"/>
      <c r="C1021" s="559"/>
      <c r="D1021" s="575"/>
      <c r="E1021" s="578"/>
      <c r="F1021" s="581"/>
      <c r="G1021" s="584"/>
      <c r="H1021" s="587"/>
      <c r="I1021" s="590"/>
      <c r="J1021" s="590"/>
      <c r="K1021" s="593"/>
      <c r="L1021" s="590"/>
      <c r="M1021" s="596"/>
      <c r="N1021" s="599"/>
      <c r="O1021" s="602"/>
      <c r="P1021" s="596"/>
      <c r="Q1021" s="605"/>
      <c r="R1021" s="602"/>
      <c r="S1021" s="293"/>
      <c r="T1021" s="605"/>
      <c r="U1021" s="202" t="s">
        <v>224</v>
      </c>
      <c r="V1021" s="402"/>
      <c r="W1021" s="335"/>
      <c r="X1021" s="336" t="str">
        <f>IF(W1021=[27]Listas!$B$46,[27]Listas!$C$46,IF(W1021=[27]Listas!$B$47,[27]Listas!$C$47,IF(W1021=[27]Listas!$B$48,[27]Listas!$C$48,"")))</f>
        <v/>
      </c>
      <c r="Y1021" s="337" t="str">
        <f>IF(OR(W1021=[27]Listas!$F$53,W1021=[27]Listas!$F$54),[27]Listas!$G$53,IF(W1021=[27]Listas!$F$55,[27]Listas!$G$55,""))</f>
        <v/>
      </c>
      <c r="Z1021" s="335"/>
      <c r="AA1021" s="186" t="str">
        <f>+IF(Z1021=[27]Listas!$E$46,[27]Listas!$F$46,IF(Z1021=[27]Listas!$E$47,[27]Listas!$F$47,""))</f>
        <v/>
      </c>
      <c r="AB1021" s="187" t="str">
        <f t="shared" si="156"/>
        <v/>
      </c>
      <c r="AC1021" s="338"/>
      <c r="AD1021" s="339"/>
      <c r="AE1021" s="340"/>
      <c r="AF1021" s="311" t="str">
        <f t="shared" si="149"/>
        <v>Muy baja</v>
      </c>
      <c r="AG1021" s="179">
        <f>IF(Y1021=[27]Listas!$G$53,AG1020-(AG1020*AB1021),AG1020)</f>
        <v>7.7759999999999996E-2</v>
      </c>
      <c r="AH1021" s="563"/>
      <c r="AI1021" s="311" t="str">
        <f t="shared" si="154"/>
        <v>Moderado</v>
      </c>
      <c r="AJ1021" s="179">
        <f>IF(Y1021=[27]Listas!$G$55,AJ1020-(AJ1020*AB1021),AJ1020)</f>
        <v>0.6</v>
      </c>
      <c r="AK1021" s="563"/>
      <c r="AL1021" s="566"/>
      <c r="AM1021" s="566"/>
      <c r="AN1021" s="566"/>
      <c r="AO1021" s="569"/>
      <c r="AP1021" s="572"/>
      <c r="AQ1021" s="346"/>
      <c r="AR1021" s="192"/>
    </row>
    <row r="1022" spans="2:44" ht="14.5" thickTop="1" x14ac:dyDescent="0.35"/>
  </sheetData>
  <sheetProtection algorithmName="SHA-512" hashValue="rUxE8ZwCvwGAV4A/KclfofsNjMEIU87/seGwL/1nmN4h1yau+ONOVmFftlsFO3FLj+cccq6CP/UEzRJ71fKN/w==" saltValue="hOgsuIe25SyxCpgq1Kl3vg==" spinCount="100000" sheet="1" selectLockedCells="1" autoFilter="0"/>
  <mergeCells count="2471">
    <mergeCell ref="C10:C11"/>
    <mergeCell ref="B10:B11"/>
    <mergeCell ref="B8:C9"/>
    <mergeCell ref="C12:C24"/>
    <mergeCell ref="C32:C71"/>
    <mergeCell ref="C72:C114"/>
    <mergeCell ref="C122:C145"/>
    <mergeCell ref="C152:C172"/>
    <mergeCell ref="C182:C203"/>
    <mergeCell ref="C212:C317"/>
    <mergeCell ref="B12:B317"/>
    <mergeCell ref="D502:D511"/>
    <mergeCell ref="E502:E511"/>
    <mergeCell ref="F502:F511"/>
    <mergeCell ref="AK522:AK531"/>
    <mergeCell ref="AL522:AL531"/>
    <mergeCell ref="AM522:AM531"/>
    <mergeCell ref="K502:K511"/>
    <mergeCell ref="L502:L511"/>
    <mergeCell ref="M502:M511"/>
    <mergeCell ref="N502:N511"/>
    <mergeCell ref="O502:O511"/>
    <mergeCell ref="P502:P511"/>
    <mergeCell ref="G442:G451"/>
    <mergeCell ref="H442:H451"/>
    <mergeCell ref="I442:I451"/>
    <mergeCell ref="AK502:AK511"/>
    <mergeCell ref="AL502:AL511"/>
    <mergeCell ref="AM502:AM511"/>
    <mergeCell ref="AK462:AK471"/>
    <mergeCell ref="AL462:AL471"/>
    <mergeCell ref="AM462:AM471"/>
    <mergeCell ref="Q502:Q511"/>
    <mergeCell ref="R502:R511"/>
    <mergeCell ref="T502:T511"/>
    <mergeCell ref="AH502:AH511"/>
    <mergeCell ref="AN522:AN531"/>
    <mergeCell ref="AO522:AO531"/>
    <mergeCell ref="AP522:AP531"/>
    <mergeCell ref="D522:D531"/>
    <mergeCell ref="E522:E531"/>
    <mergeCell ref="F522:F531"/>
    <mergeCell ref="G522:G531"/>
    <mergeCell ref="H522:H531"/>
    <mergeCell ref="I522:I531"/>
    <mergeCell ref="J522:J531"/>
    <mergeCell ref="K522:K531"/>
    <mergeCell ref="L522:L531"/>
    <mergeCell ref="M522:M531"/>
    <mergeCell ref="N522:N531"/>
    <mergeCell ref="O522:O531"/>
    <mergeCell ref="P522:P531"/>
    <mergeCell ref="Q522:Q531"/>
    <mergeCell ref="R522:R531"/>
    <mergeCell ref="T522:T531"/>
    <mergeCell ref="AH522:AH531"/>
    <mergeCell ref="AK452:AK461"/>
    <mergeCell ref="AL452:AL461"/>
    <mergeCell ref="AM452:AM461"/>
    <mergeCell ref="AN452:AN461"/>
    <mergeCell ref="AO452:AO461"/>
    <mergeCell ref="AP452:AP461"/>
    <mergeCell ref="AN502:AN511"/>
    <mergeCell ref="AO502:AO511"/>
    <mergeCell ref="AP502:AP511"/>
    <mergeCell ref="D512:D521"/>
    <mergeCell ref="E512:E521"/>
    <mergeCell ref="F512:F521"/>
    <mergeCell ref="G512:G521"/>
    <mergeCell ref="H512:H521"/>
    <mergeCell ref="I512:I521"/>
    <mergeCell ref="J512:J521"/>
    <mergeCell ref="K512:K521"/>
    <mergeCell ref="L512:L521"/>
    <mergeCell ref="M512:M521"/>
    <mergeCell ref="N512:N521"/>
    <mergeCell ref="O512:O521"/>
    <mergeCell ref="P512:P521"/>
    <mergeCell ref="Q512:Q521"/>
    <mergeCell ref="R512:R521"/>
    <mergeCell ref="T512:T521"/>
    <mergeCell ref="AH512:AH521"/>
    <mergeCell ref="AK512:AK521"/>
    <mergeCell ref="AL512:AL521"/>
    <mergeCell ref="AM512:AM521"/>
    <mergeCell ref="AN512:AN521"/>
    <mergeCell ref="AO512:AO521"/>
    <mergeCell ref="AP512:AP521"/>
    <mergeCell ref="AO402:AO411"/>
    <mergeCell ref="AP402:AP411"/>
    <mergeCell ref="AK422:AK431"/>
    <mergeCell ref="AL422:AL431"/>
    <mergeCell ref="AM422:AM431"/>
    <mergeCell ref="AN422:AN431"/>
    <mergeCell ref="AO422:AO431"/>
    <mergeCell ref="AP422:AP431"/>
    <mergeCell ref="L402:L411"/>
    <mergeCell ref="M402:M411"/>
    <mergeCell ref="N402:N411"/>
    <mergeCell ref="O402:O411"/>
    <mergeCell ref="P402:P411"/>
    <mergeCell ref="Q402:Q411"/>
    <mergeCell ref="R402:R411"/>
    <mergeCell ref="T402:T411"/>
    <mergeCell ref="AH402:AH411"/>
    <mergeCell ref="AH412:AH421"/>
    <mergeCell ref="AK412:AK421"/>
    <mergeCell ref="AL412:AL421"/>
    <mergeCell ref="AM412:AM421"/>
    <mergeCell ref="AN412:AN421"/>
    <mergeCell ref="AO412:AO421"/>
    <mergeCell ref="AP412:AP421"/>
    <mergeCell ref="Q422:Q431"/>
    <mergeCell ref="R422:R431"/>
    <mergeCell ref="T422:T431"/>
    <mergeCell ref="AH422:AH431"/>
    <mergeCell ref="AK402:AK411"/>
    <mergeCell ref="AL402:AL411"/>
    <mergeCell ref="AM402:AM411"/>
    <mergeCell ref="AN402:AN411"/>
    <mergeCell ref="AM382:AM391"/>
    <mergeCell ref="AN382:AN391"/>
    <mergeCell ref="AO382:AO391"/>
    <mergeCell ref="AP382:AP391"/>
    <mergeCell ref="D392:D401"/>
    <mergeCell ref="E392:E401"/>
    <mergeCell ref="F392:F401"/>
    <mergeCell ref="G392:G401"/>
    <mergeCell ref="H392:H401"/>
    <mergeCell ref="I392:I401"/>
    <mergeCell ref="J392:J401"/>
    <mergeCell ref="K392:K401"/>
    <mergeCell ref="L392:L401"/>
    <mergeCell ref="M392:M401"/>
    <mergeCell ref="N392:N401"/>
    <mergeCell ref="O392:O401"/>
    <mergeCell ref="P392:P401"/>
    <mergeCell ref="Q392:Q401"/>
    <mergeCell ref="R392:R401"/>
    <mergeCell ref="T392:T401"/>
    <mergeCell ref="AH392:AH401"/>
    <mergeCell ref="AK392:AK401"/>
    <mergeCell ref="AL392:AL401"/>
    <mergeCell ref="AM392:AM401"/>
    <mergeCell ref="AN392:AN401"/>
    <mergeCell ref="AO392:AO401"/>
    <mergeCell ref="AP392:AP401"/>
    <mergeCell ref="BI363:BL363"/>
    <mergeCell ref="BN363:BR363"/>
    <mergeCell ref="BC364:BG364"/>
    <mergeCell ref="AZ367:AZ371"/>
    <mergeCell ref="AL372:AL381"/>
    <mergeCell ref="AM372:AM381"/>
    <mergeCell ref="AN372:AN381"/>
    <mergeCell ref="AO372:AO381"/>
    <mergeCell ref="AP372:AP381"/>
    <mergeCell ref="D382:D391"/>
    <mergeCell ref="E382:E391"/>
    <mergeCell ref="F382:F391"/>
    <mergeCell ref="G382:G391"/>
    <mergeCell ref="H382:H391"/>
    <mergeCell ref="I382:I391"/>
    <mergeCell ref="J382:J391"/>
    <mergeCell ref="K382:K391"/>
    <mergeCell ref="L382:L391"/>
    <mergeCell ref="M382:M391"/>
    <mergeCell ref="N382:N391"/>
    <mergeCell ref="O382:O391"/>
    <mergeCell ref="P382:P391"/>
    <mergeCell ref="Q382:Q391"/>
    <mergeCell ref="R382:R391"/>
    <mergeCell ref="T382:T391"/>
    <mergeCell ref="AH382:AH391"/>
    <mergeCell ref="AK382:AK391"/>
    <mergeCell ref="AL382:AL391"/>
    <mergeCell ref="M372:M381"/>
    <mergeCell ref="N372:N381"/>
    <mergeCell ref="O372:O381"/>
    <mergeCell ref="P372:P381"/>
    <mergeCell ref="AK362:AK371"/>
    <mergeCell ref="AL362:AL371"/>
    <mergeCell ref="AK372:AK381"/>
    <mergeCell ref="D372:D381"/>
    <mergeCell ref="E372:E381"/>
    <mergeCell ref="F372:F381"/>
    <mergeCell ref="G372:G381"/>
    <mergeCell ref="H372:H381"/>
    <mergeCell ref="I372:I381"/>
    <mergeCell ref="J372:J381"/>
    <mergeCell ref="K372:K381"/>
    <mergeCell ref="L372:L381"/>
    <mergeCell ref="AM362:AM371"/>
    <mergeCell ref="AN362:AN371"/>
    <mergeCell ref="AO362:AO371"/>
    <mergeCell ref="AP362:AP371"/>
    <mergeCell ref="AZ363:BG363"/>
    <mergeCell ref="Q372:Q381"/>
    <mergeCell ref="R372:R381"/>
    <mergeCell ref="T372:T381"/>
    <mergeCell ref="AH372:AH381"/>
    <mergeCell ref="D362:D371"/>
    <mergeCell ref="E362:E371"/>
    <mergeCell ref="F362:F371"/>
    <mergeCell ref="G362:G371"/>
    <mergeCell ref="H362:H371"/>
    <mergeCell ref="I362:I371"/>
    <mergeCell ref="J362:J371"/>
    <mergeCell ref="K362:K371"/>
    <mergeCell ref="L362:L371"/>
    <mergeCell ref="M362:M371"/>
    <mergeCell ref="N362:N371"/>
    <mergeCell ref="O362:O371"/>
    <mergeCell ref="P362:P371"/>
    <mergeCell ref="Q362:Q371"/>
    <mergeCell ref="R362:R371"/>
    <mergeCell ref="T362:T371"/>
    <mergeCell ref="AH362:AH371"/>
    <mergeCell ref="AK342:AK351"/>
    <mergeCell ref="AL342:AL351"/>
    <mergeCell ref="AM342:AM351"/>
    <mergeCell ref="AN342:AN351"/>
    <mergeCell ref="AO342:AO351"/>
    <mergeCell ref="AP342:AP351"/>
    <mergeCell ref="D352:D361"/>
    <mergeCell ref="E352:E361"/>
    <mergeCell ref="F352:F361"/>
    <mergeCell ref="G352:G361"/>
    <mergeCell ref="H352:H361"/>
    <mergeCell ref="I352:I361"/>
    <mergeCell ref="J352:J361"/>
    <mergeCell ref="K352:K361"/>
    <mergeCell ref="L352:L361"/>
    <mergeCell ref="M352:M361"/>
    <mergeCell ref="N352:N361"/>
    <mergeCell ref="O352:O361"/>
    <mergeCell ref="P352:P361"/>
    <mergeCell ref="Q352:Q361"/>
    <mergeCell ref="R352:R361"/>
    <mergeCell ref="T352:T361"/>
    <mergeCell ref="AH352:AH361"/>
    <mergeCell ref="AK352:AK361"/>
    <mergeCell ref="AL352:AL361"/>
    <mergeCell ref="AM352:AM361"/>
    <mergeCell ref="AN352:AN361"/>
    <mergeCell ref="AO352:AO361"/>
    <mergeCell ref="AP352:AP361"/>
    <mergeCell ref="D342:D351"/>
    <mergeCell ref="E342:E351"/>
    <mergeCell ref="F342:F351"/>
    <mergeCell ref="G342:G351"/>
    <mergeCell ref="H342:H351"/>
    <mergeCell ref="I342:I351"/>
    <mergeCell ref="J342:J351"/>
    <mergeCell ref="K342:K351"/>
    <mergeCell ref="L342:L351"/>
    <mergeCell ref="M342:M351"/>
    <mergeCell ref="N342:N351"/>
    <mergeCell ref="O342:O351"/>
    <mergeCell ref="P342:P351"/>
    <mergeCell ref="Q342:Q351"/>
    <mergeCell ref="R342:R351"/>
    <mergeCell ref="T342:T351"/>
    <mergeCell ref="AH342:AH351"/>
    <mergeCell ref="AZ323:BG323"/>
    <mergeCell ref="BI323:BL323"/>
    <mergeCell ref="BN323:BR323"/>
    <mergeCell ref="BC324:BG324"/>
    <mergeCell ref="AZ327:AZ331"/>
    <mergeCell ref="D332:D341"/>
    <mergeCell ref="E332:E341"/>
    <mergeCell ref="F332:F341"/>
    <mergeCell ref="G332:G341"/>
    <mergeCell ref="H332:H341"/>
    <mergeCell ref="I332:I341"/>
    <mergeCell ref="J332:J341"/>
    <mergeCell ref="K332:K341"/>
    <mergeCell ref="L332:L341"/>
    <mergeCell ref="M332:M341"/>
    <mergeCell ref="N332:N341"/>
    <mergeCell ref="O332:O341"/>
    <mergeCell ref="P332:P341"/>
    <mergeCell ref="Q332:Q341"/>
    <mergeCell ref="R332:R341"/>
    <mergeCell ref="T332:T341"/>
    <mergeCell ref="AH332:AH341"/>
    <mergeCell ref="AK332:AK341"/>
    <mergeCell ref="AL332:AL341"/>
    <mergeCell ref="AM332:AM341"/>
    <mergeCell ref="AN332:AN341"/>
    <mergeCell ref="AO332:AO341"/>
    <mergeCell ref="AP332:AP341"/>
    <mergeCell ref="AM312:AM321"/>
    <mergeCell ref="AN312:AN321"/>
    <mergeCell ref="AO312:AO321"/>
    <mergeCell ref="AP312:AP321"/>
    <mergeCell ref="D322:D331"/>
    <mergeCell ref="E322:E331"/>
    <mergeCell ref="F322:F331"/>
    <mergeCell ref="G322:G331"/>
    <mergeCell ref="H322:H331"/>
    <mergeCell ref="I322:I331"/>
    <mergeCell ref="J322:J331"/>
    <mergeCell ref="K322:K331"/>
    <mergeCell ref="L322:L331"/>
    <mergeCell ref="M322:M331"/>
    <mergeCell ref="N322:N331"/>
    <mergeCell ref="O322:O331"/>
    <mergeCell ref="P322:P331"/>
    <mergeCell ref="Q322:Q331"/>
    <mergeCell ref="R322:R331"/>
    <mergeCell ref="T322:T331"/>
    <mergeCell ref="AH322:AH331"/>
    <mergeCell ref="AK322:AK331"/>
    <mergeCell ref="AL322:AL331"/>
    <mergeCell ref="AM322:AM331"/>
    <mergeCell ref="AN322:AN331"/>
    <mergeCell ref="AO322:AO331"/>
    <mergeCell ref="AP322:AP331"/>
    <mergeCell ref="AL302:AL311"/>
    <mergeCell ref="AM302:AM311"/>
    <mergeCell ref="AN302:AN311"/>
    <mergeCell ref="AO302:AO311"/>
    <mergeCell ref="AP302:AP311"/>
    <mergeCell ref="D312:D321"/>
    <mergeCell ref="E312:E321"/>
    <mergeCell ref="F312:F321"/>
    <mergeCell ref="G312:G321"/>
    <mergeCell ref="H312:H321"/>
    <mergeCell ref="I312:I321"/>
    <mergeCell ref="J312:J321"/>
    <mergeCell ref="K312:K321"/>
    <mergeCell ref="L312:L321"/>
    <mergeCell ref="M312:M321"/>
    <mergeCell ref="N312:N321"/>
    <mergeCell ref="O312:O321"/>
    <mergeCell ref="P312:P321"/>
    <mergeCell ref="Q312:Q321"/>
    <mergeCell ref="R312:R321"/>
    <mergeCell ref="T312:T321"/>
    <mergeCell ref="AH312:AH321"/>
    <mergeCell ref="AK312:AK321"/>
    <mergeCell ref="AL312:AL321"/>
    <mergeCell ref="M302:M311"/>
    <mergeCell ref="N302:N311"/>
    <mergeCell ref="O302:O311"/>
    <mergeCell ref="P302:P311"/>
    <mergeCell ref="Q302:Q311"/>
    <mergeCell ref="R302:R311"/>
    <mergeCell ref="T302:T311"/>
    <mergeCell ref="AH302:AH311"/>
    <mergeCell ref="AK302:AK311"/>
    <mergeCell ref="D302:D311"/>
    <mergeCell ref="E302:E311"/>
    <mergeCell ref="F302:F311"/>
    <mergeCell ref="G302:G311"/>
    <mergeCell ref="H302:H311"/>
    <mergeCell ref="I302:I311"/>
    <mergeCell ref="J302:J311"/>
    <mergeCell ref="K302:K311"/>
    <mergeCell ref="L302:L311"/>
    <mergeCell ref="AP282:AP291"/>
    <mergeCell ref="D292:D301"/>
    <mergeCell ref="E292:E301"/>
    <mergeCell ref="F292:F301"/>
    <mergeCell ref="G292:G301"/>
    <mergeCell ref="H292:H301"/>
    <mergeCell ref="I292:I301"/>
    <mergeCell ref="J292:J301"/>
    <mergeCell ref="K292:K301"/>
    <mergeCell ref="L292:L301"/>
    <mergeCell ref="M292:M301"/>
    <mergeCell ref="N292:N301"/>
    <mergeCell ref="O292:O301"/>
    <mergeCell ref="P292:P301"/>
    <mergeCell ref="Q292:Q301"/>
    <mergeCell ref="R292:R301"/>
    <mergeCell ref="T292:T301"/>
    <mergeCell ref="AH292:AH301"/>
    <mergeCell ref="AK292:AK301"/>
    <mergeCell ref="AL292:AL301"/>
    <mergeCell ref="AM292:AM301"/>
    <mergeCell ref="AN292:AN301"/>
    <mergeCell ref="AO292:AO301"/>
    <mergeCell ref="AP292:AP301"/>
    <mergeCell ref="AO272:AO281"/>
    <mergeCell ref="AP272:AP281"/>
    <mergeCell ref="D282:D291"/>
    <mergeCell ref="E282:E291"/>
    <mergeCell ref="F282:F291"/>
    <mergeCell ref="G282:G291"/>
    <mergeCell ref="H282:H291"/>
    <mergeCell ref="I282:I291"/>
    <mergeCell ref="J282:J291"/>
    <mergeCell ref="K282:K291"/>
    <mergeCell ref="L282:L291"/>
    <mergeCell ref="M282:M291"/>
    <mergeCell ref="N282:N291"/>
    <mergeCell ref="O282:O291"/>
    <mergeCell ref="P282:P291"/>
    <mergeCell ref="Q282:Q291"/>
    <mergeCell ref="R282:R291"/>
    <mergeCell ref="T282:T291"/>
    <mergeCell ref="AH282:AH291"/>
    <mergeCell ref="AK282:AK291"/>
    <mergeCell ref="AL282:AL291"/>
    <mergeCell ref="AM282:AM291"/>
    <mergeCell ref="AN282:AN291"/>
    <mergeCell ref="AO282:AO291"/>
    <mergeCell ref="AP262:AP271"/>
    <mergeCell ref="D272:D281"/>
    <mergeCell ref="E272:E281"/>
    <mergeCell ref="F272:F281"/>
    <mergeCell ref="G272:G281"/>
    <mergeCell ref="H272:H281"/>
    <mergeCell ref="I272:I281"/>
    <mergeCell ref="J272:J281"/>
    <mergeCell ref="K272:K281"/>
    <mergeCell ref="L272:L281"/>
    <mergeCell ref="M272:M281"/>
    <mergeCell ref="N272:N281"/>
    <mergeCell ref="O272:O281"/>
    <mergeCell ref="P272:P281"/>
    <mergeCell ref="Q272:Q281"/>
    <mergeCell ref="R272:R281"/>
    <mergeCell ref="T272:T281"/>
    <mergeCell ref="AH272:AH281"/>
    <mergeCell ref="AK272:AK281"/>
    <mergeCell ref="AL272:AL281"/>
    <mergeCell ref="AM272:AM281"/>
    <mergeCell ref="AN272:AN281"/>
    <mergeCell ref="D262:D271"/>
    <mergeCell ref="E262:E271"/>
    <mergeCell ref="F262:F271"/>
    <mergeCell ref="G262:G271"/>
    <mergeCell ref="H262:H271"/>
    <mergeCell ref="I262:I271"/>
    <mergeCell ref="J262:J271"/>
    <mergeCell ref="K262:K271"/>
    <mergeCell ref="L262:L271"/>
    <mergeCell ref="M262:M271"/>
    <mergeCell ref="N262:N271"/>
    <mergeCell ref="O262:O271"/>
    <mergeCell ref="P262:P271"/>
    <mergeCell ref="Q262:Q271"/>
    <mergeCell ref="R262:R271"/>
    <mergeCell ref="T262:T271"/>
    <mergeCell ref="AH262:AH271"/>
    <mergeCell ref="AK242:AK251"/>
    <mergeCell ref="AL242:AL251"/>
    <mergeCell ref="AM242:AM251"/>
    <mergeCell ref="AN242:AN251"/>
    <mergeCell ref="AO242:AO251"/>
    <mergeCell ref="L242:L251"/>
    <mergeCell ref="M242:M251"/>
    <mergeCell ref="N242:N251"/>
    <mergeCell ref="O242:O251"/>
    <mergeCell ref="P242:P251"/>
    <mergeCell ref="Q242:Q251"/>
    <mergeCell ref="R242:R251"/>
    <mergeCell ref="T242:T251"/>
    <mergeCell ref="AH242:AH251"/>
    <mergeCell ref="AK262:AK271"/>
    <mergeCell ref="AL262:AL271"/>
    <mergeCell ref="AM262:AM271"/>
    <mergeCell ref="AN262:AN271"/>
    <mergeCell ref="AO262:AO271"/>
    <mergeCell ref="AP242:AP251"/>
    <mergeCell ref="D252:D261"/>
    <mergeCell ref="E252:E261"/>
    <mergeCell ref="F252:F261"/>
    <mergeCell ref="G252:G261"/>
    <mergeCell ref="H252:H261"/>
    <mergeCell ref="I252:I261"/>
    <mergeCell ref="J252:J261"/>
    <mergeCell ref="K252:K261"/>
    <mergeCell ref="L252:L261"/>
    <mergeCell ref="M252:M261"/>
    <mergeCell ref="N252:N261"/>
    <mergeCell ref="O252:O261"/>
    <mergeCell ref="P252:P261"/>
    <mergeCell ref="Q252:Q261"/>
    <mergeCell ref="R252:R261"/>
    <mergeCell ref="T252:T261"/>
    <mergeCell ref="AH252:AH261"/>
    <mergeCell ref="AK252:AK261"/>
    <mergeCell ref="AL252:AL261"/>
    <mergeCell ref="AM252:AM261"/>
    <mergeCell ref="AN252:AN261"/>
    <mergeCell ref="AO252:AO261"/>
    <mergeCell ref="AP252:AP261"/>
    <mergeCell ref="D242:D251"/>
    <mergeCell ref="E242:E251"/>
    <mergeCell ref="F242:F251"/>
    <mergeCell ref="G242:G251"/>
    <mergeCell ref="H242:H251"/>
    <mergeCell ref="I242:I251"/>
    <mergeCell ref="J242:J251"/>
    <mergeCell ref="K242:K251"/>
    <mergeCell ref="AP222:AP231"/>
    <mergeCell ref="D232:D241"/>
    <mergeCell ref="E232:E241"/>
    <mergeCell ref="F232:F241"/>
    <mergeCell ref="G232:G241"/>
    <mergeCell ref="H232:H241"/>
    <mergeCell ref="I232:I241"/>
    <mergeCell ref="J232:J241"/>
    <mergeCell ref="K232:K241"/>
    <mergeCell ref="L232:L241"/>
    <mergeCell ref="M232:M241"/>
    <mergeCell ref="N232:N241"/>
    <mergeCell ref="O232:O241"/>
    <mergeCell ref="P232:P241"/>
    <mergeCell ref="Q232:Q241"/>
    <mergeCell ref="R232:R241"/>
    <mergeCell ref="T232:T241"/>
    <mergeCell ref="AH232:AH241"/>
    <mergeCell ref="AK232:AK241"/>
    <mergeCell ref="AL232:AL241"/>
    <mergeCell ref="AM232:AM241"/>
    <mergeCell ref="AN232:AN241"/>
    <mergeCell ref="AO232:AO241"/>
    <mergeCell ref="AP232:AP241"/>
    <mergeCell ref="AL212:AL221"/>
    <mergeCell ref="AM212:AM221"/>
    <mergeCell ref="AN212:AN221"/>
    <mergeCell ref="AO212:AO221"/>
    <mergeCell ref="AP212:AP221"/>
    <mergeCell ref="AZ213:BG213"/>
    <mergeCell ref="BI213:BL213"/>
    <mergeCell ref="BN213:BR213"/>
    <mergeCell ref="BC214:BG214"/>
    <mergeCell ref="AZ217:AZ221"/>
    <mergeCell ref="D222:D231"/>
    <mergeCell ref="E222:E231"/>
    <mergeCell ref="F222:F231"/>
    <mergeCell ref="G222:G231"/>
    <mergeCell ref="H222:H231"/>
    <mergeCell ref="I222:I231"/>
    <mergeCell ref="J222:J231"/>
    <mergeCell ref="K222:K231"/>
    <mergeCell ref="L222:L231"/>
    <mergeCell ref="M222:M231"/>
    <mergeCell ref="N222:N231"/>
    <mergeCell ref="O222:O231"/>
    <mergeCell ref="P222:P231"/>
    <mergeCell ref="Q222:Q231"/>
    <mergeCell ref="R222:R231"/>
    <mergeCell ref="T222:T231"/>
    <mergeCell ref="AH222:AH231"/>
    <mergeCell ref="AK222:AK231"/>
    <mergeCell ref="AL222:AL231"/>
    <mergeCell ref="AM222:AM231"/>
    <mergeCell ref="AN222:AN231"/>
    <mergeCell ref="AO222:AO231"/>
    <mergeCell ref="AK202:AK211"/>
    <mergeCell ref="AL202:AL211"/>
    <mergeCell ref="M192:M201"/>
    <mergeCell ref="N192:N201"/>
    <mergeCell ref="O192:O201"/>
    <mergeCell ref="P192:P201"/>
    <mergeCell ref="Q192:Q201"/>
    <mergeCell ref="R192:R201"/>
    <mergeCell ref="T192:T201"/>
    <mergeCell ref="AH192:AH201"/>
    <mergeCell ref="AM202:AM211"/>
    <mergeCell ref="AN202:AN211"/>
    <mergeCell ref="AO202:AO211"/>
    <mergeCell ref="AP202:AP211"/>
    <mergeCell ref="D212:D221"/>
    <mergeCell ref="E212:E221"/>
    <mergeCell ref="F212:F221"/>
    <mergeCell ref="G212:G221"/>
    <mergeCell ref="H212:H221"/>
    <mergeCell ref="I212:I221"/>
    <mergeCell ref="J212:J221"/>
    <mergeCell ref="K212:K221"/>
    <mergeCell ref="L212:L221"/>
    <mergeCell ref="M212:M221"/>
    <mergeCell ref="N212:N221"/>
    <mergeCell ref="O212:O221"/>
    <mergeCell ref="P212:P221"/>
    <mergeCell ref="Q212:Q221"/>
    <mergeCell ref="R212:R221"/>
    <mergeCell ref="T212:T221"/>
    <mergeCell ref="AH212:AH221"/>
    <mergeCell ref="AK212:AK221"/>
    <mergeCell ref="D202:D211"/>
    <mergeCell ref="E202:E211"/>
    <mergeCell ref="F202:F211"/>
    <mergeCell ref="G202:G211"/>
    <mergeCell ref="H202:H211"/>
    <mergeCell ref="I202:I211"/>
    <mergeCell ref="J202:J211"/>
    <mergeCell ref="K202:K211"/>
    <mergeCell ref="L202:L211"/>
    <mergeCell ref="M202:M211"/>
    <mergeCell ref="N202:N211"/>
    <mergeCell ref="O202:O211"/>
    <mergeCell ref="P202:P211"/>
    <mergeCell ref="Q202:Q211"/>
    <mergeCell ref="R202:R211"/>
    <mergeCell ref="T202:T211"/>
    <mergeCell ref="AH202:AH211"/>
    <mergeCell ref="AK192:AK201"/>
    <mergeCell ref="D192:D201"/>
    <mergeCell ref="E192:E201"/>
    <mergeCell ref="F192:F201"/>
    <mergeCell ref="G192:G201"/>
    <mergeCell ref="H192:H201"/>
    <mergeCell ref="I192:I201"/>
    <mergeCell ref="J192:J201"/>
    <mergeCell ref="K192:K201"/>
    <mergeCell ref="L192:L201"/>
    <mergeCell ref="AL182:AL191"/>
    <mergeCell ref="AM182:AM191"/>
    <mergeCell ref="AN182:AN191"/>
    <mergeCell ref="AO182:AO191"/>
    <mergeCell ref="AP182:AP191"/>
    <mergeCell ref="AZ183:BG183"/>
    <mergeCell ref="BI183:BL183"/>
    <mergeCell ref="AL192:AL201"/>
    <mergeCell ref="AM192:AM201"/>
    <mergeCell ref="AN192:AN201"/>
    <mergeCell ref="AO192:AO201"/>
    <mergeCell ref="AP192:AP201"/>
    <mergeCell ref="BN183:BR183"/>
    <mergeCell ref="BC184:BG184"/>
    <mergeCell ref="AZ187:AZ191"/>
    <mergeCell ref="AK172:AK181"/>
    <mergeCell ref="AL172:AL181"/>
    <mergeCell ref="AM172:AM181"/>
    <mergeCell ref="AN172:AN181"/>
    <mergeCell ref="AO172:AO181"/>
    <mergeCell ref="AP172:AP181"/>
    <mergeCell ref="D182:D191"/>
    <mergeCell ref="E182:E191"/>
    <mergeCell ref="F182:F191"/>
    <mergeCell ref="G182:G191"/>
    <mergeCell ref="H182:H191"/>
    <mergeCell ref="I182:I191"/>
    <mergeCell ref="J182:J191"/>
    <mergeCell ref="K182:K191"/>
    <mergeCell ref="L182:L191"/>
    <mergeCell ref="M182:M191"/>
    <mergeCell ref="N182:N191"/>
    <mergeCell ref="O182:O191"/>
    <mergeCell ref="P182:P191"/>
    <mergeCell ref="Q182:Q191"/>
    <mergeCell ref="R182:R191"/>
    <mergeCell ref="T182:T191"/>
    <mergeCell ref="AH182:AH191"/>
    <mergeCell ref="AK182:AK191"/>
    <mergeCell ref="AP162:AP171"/>
    <mergeCell ref="D172:D181"/>
    <mergeCell ref="E172:E181"/>
    <mergeCell ref="F172:F181"/>
    <mergeCell ref="G172:G181"/>
    <mergeCell ref="H172:H181"/>
    <mergeCell ref="I172:I181"/>
    <mergeCell ref="J172:J181"/>
    <mergeCell ref="K172:K181"/>
    <mergeCell ref="L172:L181"/>
    <mergeCell ref="M172:M181"/>
    <mergeCell ref="N172:N181"/>
    <mergeCell ref="O172:O181"/>
    <mergeCell ref="P172:P181"/>
    <mergeCell ref="Q172:Q181"/>
    <mergeCell ref="R172:R181"/>
    <mergeCell ref="T172:T181"/>
    <mergeCell ref="AH172:AH181"/>
    <mergeCell ref="AL152:AL161"/>
    <mergeCell ref="AM152:AM161"/>
    <mergeCell ref="AN152:AN161"/>
    <mergeCell ref="AO152:AO161"/>
    <mergeCell ref="AP152:AP161"/>
    <mergeCell ref="AZ153:BG153"/>
    <mergeCell ref="BI153:BL153"/>
    <mergeCell ref="BN153:BR153"/>
    <mergeCell ref="BC154:BG154"/>
    <mergeCell ref="AZ157:AZ161"/>
    <mergeCell ref="D162:D171"/>
    <mergeCell ref="E162:E171"/>
    <mergeCell ref="F162:F171"/>
    <mergeCell ref="G162:G171"/>
    <mergeCell ref="H162:H171"/>
    <mergeCell ref="I162:I171"/>
    <mergeCell ref="J162:J171"/>
    <mergeCell ref="K162:K171"/>
    <mergeCell ref="L162:L171"/>
    <mergeCell ref="M162:M171"/>
    <mergeCell ref="N162:N171"/>
    <mergeCell ref="O162:O171"/>
    <mergeCell ref="P162:P171"/>
    <mergeCell ref="Q162:Q171"/>
    <mergeCell ref="R162:R171"/>
    <mergeCell ref="T162:T171"/>
    <mergeCell ref="AH162:AH171"/>
    <mergeCell ref="AK162:AK171"/>
    <mergeCell ref="AL162:AL171"/>
    <mergeCell ref="AM162:AM171"/>
    <mergeCell ref="AN162:AN171"/>
    <mergeCell ref="AO162:AO171"/>
    <mergeCell ref="AK142:AK151"/>
    <mergeCell ref="AL142:AL151"/>
    <mergeCell ref="M132:M141"/>
    <mergeCell ref="N132:N141"/>
    <mergeCell ref="O132:O141"/>
    <mergeCell ref="P132:P141"/>
    <mergeCell ref="Q132:Q141"/>
    <mergeCell ref="R132:R141"/>
    <mergeCell ref="T132:T141"/>
    <mergeCell ref="AH132:AH141"/>
    <mergeCell ref="AM142:AM151"/>
    <mergeCell ref="AN142:AN151"/>
    <mergeCell ref="AO142:AO151"/>
    <mergeCell ref="AP142:AP151"/>
    <mergeCell ref="D152:D161"/>
    <mergeCell ref="E152:E161"/>
    <mergeCell ref="F152:F161"/>
    <mergeCell ref="G152:G161"/>
    <mergeCell ref="H152:H161"/>
    <mergeCell ref="I152:I161"/>
    <mergeCell ref="J152:J161"/>
    <mergeCell ref="K152:K161"/>
    <mergeCell ref="L152:L161"/>
    <mergeCell ref="M152:M161"/>
    <mergeCell ref="N152:N161"/>
    <mergeCell ref="O152:O161"/>
    <mergeCell ref="P152:P161"/>
    <mergeCell ref="Q152:Q161"/>
    <mergeCell ref="R152:R161"/>
    <mergeCell ref="T152:T161"/>
    <mergeCell ref="AH152:AH161"/>
    <mergeCell ref="AK152:AK161"/>
    <mergeCell ref="D142:D151"/>
    <mergeCell ref="E142:E151"/>
    <mergeCell ref="F142:F151"/>
    <mergeCell ref="G142:G151"/>
    <mergeCell ref="H142:H151"/>
    <mergeCell ref="I142:I151"/>
    <mergeCell ref="J142:J151"/>
    <mergeCell ref="K142:K151"/>
    <mergeCell ref="L142:L151"/>
    <mergeCell ref="M142:M151"/>
    <mergeCell ref="N142:N151"/>
    <mergeCell ref="O142:O151"/>
    <mergeCell ref="P142:P151"/>
    <mergeCell ref="Q142:Q151"/>
    <mergeCell ref="R142:R151"/>
    <mergeCell ref="T142:T151"/>
    <mergeCell ref="AH142:AH151"/>
    <mergeCell ref="AZ33:BG33"/>
    <mergeCell ref="BI33:BL33"/>
    <mergeCell ref="BN33:BR33"/>
    <mergeCell ref="BC34:BG34"/>
    <mergeCell ref="AZ37:AZ41"/>
    <mergeCell ref="AZ73:BG73"/>
    <mergeCell ref="BI73:BL73"/>
    <mergeCell ref="BN73:BR73"/>
    <mergeCell ref="BC74:BG74"/>
    <mergeCell ref="AZ77:AZ81"/>
    <mergeCell ref="O122:O131"/>
    <mergeCell ref="AZ123:BG123"/>
    <mergeCell ref="BI123:BL123"/>
    <mergeCell ref="BN123:BR123"/>
    <mergeCell ref="BC124:BG124"/>
    <mergeCell ref="AZ127:AZ131"/>
    <mergeCell ref="Q112:Q121"/>
    <mergeCell ref="P112:P121"/>
    <mergeCell ref="Q122:Q131"/>
    <mergeCell ref="Q92:Q101"/>
    <mergeCell ref="R92:R101"/>
    <mergeCell ref="T92:T101"/>
    <mergeCell ref="AO92:AO101"/>
    <mergeCell ref="AP92:AP101"/>
    <mergeCell ref="AO102:AO111"/>
    <mergeCell ref="AN112:AN121"/>
    <mergeCell ref="AH122:AH131"/>
    <mergeCell ref="AK122:AK131"/>
    <mergeCell ref="AL122:AL131"/>
    <mergeCell ref="AM122:AM131"/>
    <mergeCell ref="AN122:AN131"/>
    <mergeCell ref="T82:T91"/>
    <mergeCell ref="AK132:AK141"/>
    <mergeCell ref="AM132:AM141"/>
    <mergeCell ref="AN132:AN141"/>
    <mergeCell ref="AO132:AO141"/>
    <mergeCell ref="AP132:AP141"/>
    <mergeCell ref="O52:O61"/>
    <mergeCell ref="P52:P61"/>
    <mergeCell ref="Q52:Q61"/>
    <mergeCell ref="R52:R61"/>
    <mergeCell ref="T52:T61"/>
    <mergeCell ref="N32:N41"/>
    <mergeCell ref="O32:O41"/>
    <mergeCell ref="P32:P41"/>
    <mergeCell ref="Q32:Q41"/>
    <mergeCell ref="R32:R41"/>
    <mergeCell ref="T32:T41"/>
    <mergeCell ref="D132:D141"/>
    <mergeCell ref="E132:E141"/>
    <mergeCell ref="F132:F141"/>
    <mergeCell ref="G132:G141"/>
    <mergeCell ref="H132:H141"/>
    <mergeCell ref="I132:I141"/>
    <mergeCell ref="J132:J141"/>
    <mergeCell ref="K132:K141"/>
    <mergeCell ref="L132:L141"/>
    <mergeCell ref="K122:K131"/>
    <mergeCell ref="J122:J131"/>
    <mergeCell ref="I122:I131"/>
    <mergeCell ref="AL132:AL141"/>
    <mergeCell ref="D82:D91"/>
    <mergeCell ref="D92:D101"/>
    <mergeCell ref="D102:D111"/>
    <mergeCell ref="E82:E91"/>
    <mergeCell ref="G82:G91"/>
    <mergeCell ref="H82:H91"/>
    <mergeCell ref="I82:I91"/>
    <mergeCell ref="J82:J91"/>
    <mergeCell ref="M62:M71"/>
    <mergeCell ref="F62:F71"/>
    <mergeCell ref="F72:F81"/>
    <mergeCell ref="F82:F91"/>
    <mergeCell ref="AP32:AP41"/>
    <mergeCell ref="AH32:AH41"/>
    <mergeCell ref="AK32:AK41"/>
    <mergeCell ref="AO32:AO41"/>
    <mergeCell ref="T62:T71"/>
    <mergeCell ref="N62:N71"/>
    <mergeCell ref="AP62:AP71"/>
    <mergeCell ref="AK72:AK81"/>
    <mergeCell ref="AL72:AL81"/>
    <mergeCell ref="AM72:AM81"/>
    <mergeCell ref="AN72:AN81"/>
    <mergeCell ref="E62:E71"/>
    <mergeCell ref="G62:G71"/>
    <mergeCell ref="H62:H71"/>
    <mergeCell ref="I62:I71"/>
    <mergeCell ref="J62:J71"/>
    <mergeCell ref="O62:O71"/>
    <mergeCell ref="P62:P71"/>
    <mergeCell ref="Q62:Q71"/>
    <mergeCell ref="R62:R71"/>
    <mergeCell ref="F52:F61"/>
    <mergeCell ref="E32:E41"/>
    <mergeCell ref="F32:F41"/>
    <mergeCell ref="D112:D121"/>
    <mergeCell ref="Q10:Q11"/>
    <mergeCell ref="R10:R11"/>
    <mergeCell ref="T10:T11"/>
    <mergeCell ref="N12:N21"/>
    <mergeCell ref="N10:N11"/>
    <mergeCell ref="R22:R31"/>
    <mergeCell ref="M12:M21"/>
    <mergeCell ref="Q12:Q21"/>
    <mergeCell ref="R12:R21"/>
    <mergeCell ref="T12:T21"/>
    <mergeCell ref="O12:O21"/>
    <mergeCell ref="P12:P21"/>
    <mergeCell ref="L32:L41"/>
    <mergeCell ref="M32:M41"/>
    <mergeCell ref="N52:N61"/>
    <mergeCell ref="J72:J81"/>
    <mergeCell ref="K72:K81"/>
    <mergeCell ref="O112:O121"/>
    <mergeCell ref="N112:N121"/>
    <mergeCell ref="T72:T81"/>
    <mergeCell ref="T102:T111"/>
    <mergeCell ref="T112:T121"/>
    <mergeCell ref="R72:R81"/>
    <mergeCell ref="R112:R121"/>
    <mergeCell ref="D32:D41"/>
    <mergeCell ref="D42:D51"/>
    <mergeCell ref="D52:D61"/>
    <mergeCell ref="D62:D71"/>
    <mergeCell ref="E52:E61"/>
    <mergeCell ref="D72:D81"/>
    <mergeCell ref="K62:K71"/>
    <mergeCell ref="G32:G41"/>
    <mergeCell ref="H32:H41"/>
    <mergeCell ref="I32:I41"/>
    <mergeCell ref="J32:J41"/>
    <mergeCell ref="K32:K41"/>
    <mergeCell ref="F42:F51"/>
    <mergeCell ref="G52:G61"/>
    <mergeCell ref="M8:T9"/>
    <mergeCell ref="W9:AE9"/>
    <mergeCell ref="W10:AB10"/>
    <mergeCell ref="AC10:AE10"/>
    <mergeCell ref="J10:J11"/>
    <mergeCell ref="K10:K11"/>
    <mergeCell ref="P10:P11"/>
    <mergeCell ref="D8:L9"/>
    <mergeCell ref="M10:M11"/>
    <mergeCell ref="O10:O11"/>
    <mergeCell ref="U8:AE8"/>
    <mergeCell ref="I10:I11"/>
    <mergeCell ref="V9:V11"/>
    <mergeCell ref="G10:G11"/>
    <mergeCell ref="H10:H11"/>
    <mergeCell ref="L10:L11"/>
    <mergeCell ref="U9:U11"/>
    <mergeCell ref="T22:T31"/>
    <mergeCell ref="G22:G31"/>
    <mergeCell ref="M22:M31"/>
    <mergeCell ref="R82:R91"/>
    <mergeCell ref="E72:E81"/>
    <mergeCell ref="G72:G81"/>
    <mergeCell ref="H72:H81"/>
    <mergeCell ref="I72:I81"/>
    <mergeCell ref="G12:G21"/>
    <mergeCell ref="H12:H21"/>
    <mergeCell ref="I12:I21"/>
    <mergeCell ref="J12:J21"/>
    <mergeCell ref="K12:K21"/>
    <mergeCell ref="L12:L21"/>
    <mergeCell ref="F22:F31"/>
    <mergeCell ref="E22:E31"/>
    <mergeCell ref="AO52:AO61"/>
    <mergeCell ref="AP52:AP61"/>
    <mergeCell ref="E42:E51"/>
    <mergeCell ref="G42:G51"/>
    <mergeCell ref="H42:H51"/>
    <mergeCell ref="I42:I51"/>
    <mergeCell ref="J42:J51"/>
    <mergeCell ref="K42:K51"/>
    <mergeCell ref="L42:L51"/>
    <mergeCell ref="M42:M51"/>
    <mergeCell ref="N42:N51"/>
    <mergeCell ref="O42:O51"/>
    <mergeCell ref="P42:P51"/>
    <mergeCell ref="Q42:Q51"/>
    <mergeCell ref="R42:R51"/>
    <mergeCell ref="P22:P31"/>
    <mergeCell ref="T42:T51"/>
    <mergeCell ref="AO42:AO51"/>
    <mergeCell ref="AP42:AP51"/>
    <mergeCell ref="P72:P81"/>
    <mergeCell ref="Q72:Q81"/>
    <mergeCell ref="J22:J31"/>
    <mergeCell ref="H52:H61"/>
    <mergeCell ref="I52:I61"/>
    <mergeCell ref="J52:J61"/>
    <mergeCell ref="K52:K61"/>
    <mergeCell ref="L52:L61"/>
    <mergeCell ref="M52:M61"/>
    <mergeCell ref="I92:I101"/>
    <mergeCell ref="J92:J101"/>
    <mergeCell ref="K92:K101"/>
    <mergeCell ref="L92:L101"/>
    <mergeCell ref="M92:M101"/>
    <mergeCell ref="H102:H111"/>
    <mergeCell ref="N92:N101"/>
    <mergeCell ref="O92:O101"/>
    <mergeCell ref="P92:P101"/>
    <mergeCell ref="L82:L91"/>
    <mergeCell ref="M82:M91"/>
    <mergeCell ref="N82:N91"/>
    <mergeCell ref="O82:O91"/>
    <mergeCell ref="P82:P91"/>
    <mergeCell ref="Q82:Q91"/>
    <mergeCell ref="K82:K91"/>
    <mergeCell ref="L62:L71"/>
    <mergeCell ref="O22:O31"/>
    <mergeCell ref="Q22:Q31"/>
    <mergeCell ref="H22:H31"/>
    <mergeCell ref="I22:I31"/>
    <mergeCell ref="K22:K31"/>
    <mergeCell ref="L22:L31"/>
    <mergeCell ref="F92:F101"/>
    <mergeCell ref="F102:F111"/>
    <mergeCell ref="E122:E131"/>
    <mergeCell ref="F122:F131"/>
    <mergeCell ref="G122:G131"/>
    <mergeCell ref="H122:H131"/>
    <mergeCell ref="H112:H121"/>
    <mergeCell ref="E112:E121"/>
    <mergeCell ref="E92:E101"/>
    <mergeCell ref="F112:F121"/>
    <mergeCell ref="E102:E111"/>
    <mergeCell ref="G112:G121"/>
    <mergeCell ref="G92:G101"/>
    <mergeCell ref="H92:H101"/>
    <mergeCell ref="AH112:AH121"/>
    <mergeCell ref="AH102:AH111"/>
    <mergeCell ref="K102:K111"/>
    <mergeCell ref="L102:L111"/>
    <mergeCell ref="M102:M111"/>
    <mergeCell ref="N102:N111"/>
    <mergeCell ref="O102:O111"/>
    <mergeCell ref="P102:P111"/>
    <mergeCell ref="Q102:Q111"/>
    <mergeCell ref="R102:R111"/>
    <mergeCell ref="G102:G111"/>
    <mergeCell ref="L112:L121"/>
    <mergeCell ref="M112:M121"/>
    <mergeCell ref="D122:D131"/>
    <mergeCell ref="AZ13:BG13"/>
    <mergeCell ref="BC14:BG14"/>
    <mergeCell ref="AZ17:AZ21"/>
    <mergeCell ref="AL32:AL41"/>
    <mergeCell ref="AM32:AM41"/>
    <mergeCell ref="AN32:AN41"/>
    <mergeCell ref="AH42:AH51"/>
    <mergeCell ref="AK42:AK51"/>
    <mergeCell ref="AL42:AL51"/>
    <mergeCell ref="AM42:AM51"/>
    <mergeCell ref="AN42:AN51"/>
    <mergeCell ref="AH52:AH61"/>
    <mergeCell ref="AK52:AK61"/>
    <mergeCell ref="AL52:AL61"/>
    <mergeCell ref="AM52:AM61"/>
    <mergeCell ref="AN52:AN61"/>
    <mergeCell ref="AH62:AH71"/>
    <mergeCell ref="AH82:AH91"/>
    <mergeCell ref="AK82:AK91"/>
    <mergeCell ref="AL82:AL91"/>
    <mergeCell ref="AM82:AM91"/>
    <mergeCell ref="AN82:AN91"/>
    <mergeCell ref="AO62:AO71"/>
    <mergeCell ref="AO72:AO81"/>
    <mergeCell ref="AP72:AP81"/>
    <mergeCell ref="AO82:AO91"/>
    <mergeCell ref="AP82:AP91"/>
    <mergeCell ref="AO122:AO131"/>
    <mergeCell ref="AP122:AP131"/>
    <mergeCell ref="I112:I121"/>
    <mergeCell ref="J112:J121"/>
    <mergeCell ref="BI13:BL13"/>
    <mergeCell ref="BN13:BR13"/>
    <mergeCell ref="AP12:AP21"/>
    <mergeCell ref="AF8:AN8"/>
    <mergeCell ref="AF9:AK9"/>
    <mergeCell ref="AH22:AH31"/>
    <mergeCell ref="AK22:AK31"/>
    <mergeCell ref="AL22:AL31"/>
    <mergeCell ref="AM22:AM31"/>
    <mergeCell ref="AN22:AN31"/>
    <mergeCell ref="AL10:AL11"/>
    <mergeCell ref="AM10:AM11"/>
    <mergeCell ref="AL12:AL21"/>
    <mergeCell ref="AM12:AM21"/>
    <mergeCell ref="AN10:AN11"/>
    <mergeCell ref="AN12:AN21"/>
    <mergeCell ref="AH10:AH11"/>
    <mergeCell ref="AH12:AH21"/>
    <mergeCell ref="AK12:AK21"/>
    <mergeCell ref="AP10:AP11"/>
    <mergeCell ref="AO22:AO31"/>
    <mergeCell ref="AO12:AO21"/>
    <mergeCell ref="AP22:AP31"/>
    <mergeCell ref="AQ10:AQ11"/>
    <mergeCell ref="AF10:AF11"/>
    <mergeCell ref="AO10:AO11"/>
    <mergeCell ref="AL9:AN9"/>
    <mergeCell ref="AG10:AG11"/>
    <mergeCell ref="AK10:AK11"/>
    <mergeCell ref="AJ10:AJ11"/>
    <mergeCell ref="AI10:AI11"/>
    <mergeCell ref="AR8:AR9"/>
    <mergeCell ref="AR10:AR11"/>
    <mergeCell ref="AO8:AQ9"/>
    <mergeCell ref="AH92:AH101"/>
    <mergeCell ref="AK102:AK111"/>
    <mergeCell ref="AP102:AP111"/>
    <mergeCell ref="AP112:AP121"/>
    <mergeCell ref="AO112:AO121"/>
    <mergeCell ref="F10:F11"/>
    <mergeCell ref="F12:F21"/>
    <mergeCell ref="E12:E21"/>
    <mergeCell ref="E10:E11"/>
    <mergeCell ref="D10:D11"/>
    <mergeCell ref="D12:D18"/>
    <mergeCell ref="D22:D24"/>
    <mergeCell ref="I102:I111"/>
    <mergeCell ref="J102:J111"/>
    <mergeCell ref="AK62:AK71"/>
    <mergeCell ref="AL62:AL71"/>
    <mergeCell ref="AM62:AM71"/>
    <mergeCell ref="AN62:AN71"/>
    <mergeCell ref="AL102:AL111"/>
    <mergeCell ref="AM102:AM111"/>
    <mergeCell ref="AN102:AN111"/>
    <mergeCell ref="AK112:AK121"/>
    <mergeCell ref="AK92:AK101"/>
    <mergeCell ref="AL92:AL101"/>
    <mergeCell ref="AM92:AM101"/>
    <mergeCell ref="AN92:AN101"/>
    <mergeCell ref="AL112:AL121"/>
    <mergeCell ref="AM112:AM121"/>
    <mergeCell ref="K112:K121"/>
    <mergeCell ref="N22:N31"/>
    <mergeCell ref="L72:L81"/>
    <mergeCell ref="M72:M81"/>
    <mergeCell ref="P122:P131"/>
    <mergeCell ref="N122:N131"/>
    <mergeCell ref="M122:M131"/>
    <mergeCell ref="L122:L131"/>
    <mergeCell ref="T122:T131"/>
    <mergeCell ref="R122:R131"/>
    <mergeCell ref="AH72:AH81"/>
    <mergeCell ref="N72:N81"/>
    <mergeCell ref="O72:O81"/>
    <mergeCell ref="AZ403:BG403"/>
    <mergeCell ref="BI403:BL403"/>
    <mergeCell ref="BN403:BR403"/>
    <mergeCell ref="BC404:BG404"/>
    <mergeCell ref="AZ407:AZ411"/>
    <mergeCell ref="D412:D421"/>
    <mergeCell ref="E412:E421"/>
    <mergeCell ref="F412:F421"/>
    <mergeCell ref="G412:G421"/>
    <mergeCell ref="H412:H421"/>
    <mergeCell ref="I412:I421"/>
    <mergeCell ref="J412:J421"/>
    <mergeCell ref="K412:K421"/>
    <mergeCell ref="L412:L421"/>
    <mergeCell ref="M412:M421"/>
    <mergeCell ref="N412:N421"/>
    <mergeCell ref="O412:O421"/>
    <mergeCell ref="P412:P421"/>
    <mergeCell ref="Q412:Q421"/>
    <mergeCell ref="R412:R421"/>
    <mergeCell ref="T412:T421"/>
    <mergeCell ref="D402:D411"/>
    <mergeCell ref="E402:E411"/>
    <mergeCell ref="F402:F411"/>
    <mergeCell ref="G402:G411"/>
    <mergeCell ref="D422:D431"/>
    <mergeCell ref="E422:E431"/>
    <mergeCell ref="F422:F431"/>
    <mergeCell ref="G422:G431"/>
    <mergeCell ref="H422:H431"/>
    <mergeCell ref="I422:I431"/>
    <mergeCell ref="J422:J431"/>
    <mergeCell ref="K422:K431"/>
    <mergeCell ref="L422:L431"/>
    <mergeCell ref="M422:M431"/>
    <mergeCell ref="N422:N431"/>
    <mergeCell ref="O422:O431"/>
    <mergeCell ref="P422:P431"/>
    <mergeCell ref="H402:H411"/>
    <mergeCell ref="I402:I411"/>
    <mergeCell ref="J402:J411"/>
    <mergeCell ref="K402:K411"/>
    <mergeCell ref="D432:D441"/>
    <mergeCell ref="E432:E441"/>
    <mergeCell ref="F432:F441"/>
    <mergeCell ref="G432:G441"/>
    <mergeCell ref="H432:H441"/>
    <mergeCell ref="I432:I441"/>
    <mergeCell ref="J432:J441"/>
    <mergeCell ref="K432:K441"/>
    <mergeCell ref="L432:L441"/>
    <mergeCell ref="M432:M441"/>
    <mergeCell ref="N432:N441"/>
    <mergeCell ref="O432:O441"/>
    <mergeCell ref="P432:P441"/>
    <mergeCell ref="Q432:Q441"/>
    <mergeCell ref="R432:R441"/>
    <mergeCell ref="T432:T441"/>
    <mergeCell ref="AH432:AH441"/>
    <mergeCell ref="J442:J451"/>
    <mergeCell ref="K442:K451"/>
    <mergeCell ref="L442:L451"/>
    <mergeCell ref="M442:M451"/>
    <mergeCell ref="N442:N451"/>
    <mergeCell ref="O442:O451"/>
    <mergeCell ref="P442:P451"/>
    <mergeCell ref="Q442:Q451"/>
    <mergeCell ref="R442:R451"/>
    <mergeCell ref="T442:T451"/>
    <mergeCell ref="AH442:AH451"/>
    <mergeCell ref="AZ423:BG423"/>
    <mergeCell ref="BI423:BL423"/>
    <mergeCell ref="BN423:BR423"/>
    <mergeCell ref="BC424:BG424"/>
    <mergeCell ref="AZ427:AZ431"/>
    <mergeCell ref="AK432:AK441"/>
    <mergeCell ref="AL432:AL441"/>
    <mergeCell ref="AM432:AM441"/>
    <mergeCell ref="AN432:AN441"/>
    <mergeCell ref="AO432:AO441"/>
    <mergeCell ref="AP432:AP441"/>
    <mergeCell ref="AK442:AK451"/>
    <mergeCell ref="AL442:AL451"/>
    <mergeCell ref="AM442:AM451"/>
    <mergeCell ref="AN442:AN451"/>
    <mergeCell ref="AO442:AO451"/>
    <mergeCell ref="AP442:AP451"/>
    <mergeCell ref="D452:D461"/>
    <mergeCell ref="E452:E461"/>
    <mergeCell ref="F452:F461"/>
    <mergeCell ref="G452:G461"/>
    <mergeCell ref="H452:H461"/>
    <mergeCell ref="I452:I461"/>
    <mergeCell ref="J452:J461"/>
    <mergeCell ref="K452:K461"/>
    <mergeCell ref="L452:L461"/>
    <mergeCell ref="M452:M461"/>
    <mergeCell ref="N452:N461"/>
    <mergeCell ref="O452:O461"/>
    <mergeCell ref="P452:P461"/>
    <mergeCell ref="Q452:Q461"/>
    <mergeCell ref="R452:R461"/>
    <mergeCell ref="T452:T461"/>
    <mergeCell ref="AH452:AH461"/>
    <mergeCell ref="D442:D451"/>
    <mergeCell ref="E442:E451"/>
    <mergeCell ref="F442:F451"/>
    <mergeCell ref="AN462:AN471"/>
    <mergeCell ref="AO462:AO471"/>
    <mergeCell ref="AP462:AP471"/>
    <mergeCell ref="D472:D481"/>
    <mergeCell ref="E472:E481"/>
    <mergeCell ref="F472:F481"/>
    <mergeCell ref="G472:G481"/>
    <mergeCell ref="H472:H481"/>
    <mergeCell ref="I472:I481"/>
    <mergeCell ref="J472:J481"/>
    <mergeCell ref="K472:K481"/>
    <mergeCell ref="L472:L481"/>
    <mergeCell ref="M472:M481"/>
    <mergeCell ref="N472:N481"/>
    <mergeCell ref="O472:O481"/>
    <mergeCell ref="P472:P481"/>
    <mergeCell ref="Q472:Q481"/>
    <mergeCell ref="R472:R481"/>
    <mergeCell ref="T472:T481"/>
    <mergeCell ref="AH472:AH481"/>
    <mergeCell ref="AK472:AK481"/>
    <mergeCell ref="AL472:AL481"/>
    <mergeCell ref="AM472:AM481"/>
    <mergeCell ref="AN472:AN481"/>
    <mergeCell ref="AO472:AO481"/>
    <mergeCell ref="AP472:AP481"/>
    <mergeCell ref="D462:D471"/>
    <mergeCell ref="E462:E471"/>
    <mergeCell ref="F462:F471"/>
    <mergeCell ref="G462:G471"/>
    <mergeCell ref="H462:H471"/>
    <mergeCell ref="I462:I471"/>
    <mergeCell ref="G482:G491"/>
    <mergeCell ref="H482:H491"/>
    <mergeCell ref="I482:I491"/>
    <mergeCell ref="J482:J491"/>
    <mergeCell ref="K482:K491"/>
    <mergeCell ref="L482:L491"/>
    <mergeCell ref="M482:M491"/>
    <mergeCell ref="N482:N491"/>
    <mergeCell ref="O482:O491"/>
    <mergeCell ref="P482:P491"/>
    <mergeCell ref="Q482:Q491"/>
    <mergeCell ref="R482:R491"/>
    <mergeCell ref="T482:T491"/>
    <mergeCell ref="AH482:AH491"/>
    <mergeCell ref="J462:J471"/>
    <mergeCell ref="K462:K471"/>
    <mergeCell ref="L462:L471"/>
    <mergeCell ref="M462:M471"/>
    <mergeCell ref="N462:N471"/>
    <mergeCell ref="O462:O471"/>
    <mergeCell ref="P462:P471"/>
    <mergeCell ref="Q462:Q471"/>
    <mergeCell ref="R462:R471"/>
    <mergeCell ref="T462:T471"/>
    <mergeCell ref="AH462:AH471"/>
    <mergeCell ref="AO482:AO491"/>
    <mergeCell ref="AP482:AP491"/>
    <mergeCell ref="D492:D501"/>
    <mergeCell ref="E492:E501"/>
    <mergeCell ref="F492:F501"/>
    <mergeCell ref="G492:G501"/>
    <mergeCell ref="H492:H501"/>
    <mergeCell ref="I492:I501"/>
    <mergeCell ref="J492:J501"/>
    <mergeCell ref="K492:K501"/>
    <mergeCell ref="L492:L501"/>
    <mergeCell ref="M492:M501"/>
    <mergeCell ref="N492:N501"/>
    <mergeCell ref="O492:O501"/>
    <mergeCell ref="P492:P501"/>
    <mergeCell ref="Q492:Q501"/>
    <mergeCell ref="R492:R501"/>
    <mergeCell ref="T492:T501"/>
    <mergeCell ref="AH492:AH501"/>
    <mergeCell ref="AK492:AK501"/>
    <mergeCell ref="AL492:AL501"/>
    <mergeCell ref="AM492:AM501"/>
    <mergeCell ref="AN492:AN501"/>
    <mergeCell ref="AO492:AO501"/>
    <mergeCell ref="AP492:AP501"/>
    <mergeCell ref="D482:D491"/>
    <mergeCell ref="E482:E491"/>
    <mergeCell ref="F482:F491"/>
    <mergeCell ref="AK482:AK491"/>
    <mergeCell ref="AL482:AL491"/>
    <mergeCell ref="AM482:AM491"/>
    <mergeCell ref="AN482:AN491"/>
    <mergeCell ref="D532:D541"/>
    <mergeCell ref="E532:E541"/>
    <mergeCell ref="F532:F541"/>
    <mergeCell ref="G532:G541"/>
    <mergeCell ref="H532:H541"/>
    <mergeCell ref="I532:I541"/>
    <mergeCell ref="J532:J541"/>
    <mergeCell ref="K532:K541"/>
    <mergeCell ref="L532:L541"/>
    <mergeCell ref="M532:M541"/>
    <mergeCell ref="N532:N541"/>
    <mergeCell ref="O532:O541"/>
    <mergeCell ref="P532:P541"/>
    <mergeCell ref="Q532:Q541"/>
    <mergeCell ref="R532:R541"/>
    <mergeCell ref="T532:T541"/>
    <mergeCell ref="AH532:AH541"/>
    <mergeCell ref="AK532:AK541"/>
    <mergeCell ref="AL532:AL541"/>
    <mergeCell ref="AM532:AM541"/>
    <mergeCell ref="AN532:AN541"/>
    <mergeCell ref="AO532:AO541"/>
    <mergeCell ref="AP532:AP541"/>
    <mergeCell ref="G502:G511"/>
    <mergeCell ref="H502:H511"/>
    <mergeCell ref="I502:I511"/>
    <mergeCell ref="J502:J511"/>
    <mergeCell ref="AZ533:BG533"/>
    <mergeCell ref="BI533:BL533"/>
    <mergeCell ref="BN533:BR533"/>
    <mergeCell ref="BC534:BG534"/>
    <mergeCell ref="AZ537:AZ541"/>
    <mergeCell ref="D542:D551"/>
    <mergeCell ref="E542:E551"/>
    <mergeCell ref="F542:F551"/>
    <mergeCell ref="G542:G551"/>
    <mergeCell ref="H542:H551"/>
    <mergeCell ref="I542:I551"/>
    <mergeCell ref="J542:J551"/>
    <mergeCell ref="K542:K551"/>
    <mergeCell ref="L542:L551"/>
    <mergeCell ref="M542:M551"/>
    <mergeCell ref="N542:N551"/>
    <mergeCell ref="O542:O551"/>
    <mergeCell ref="P542:P551"/>
    <mergeCell ref="Q542:Q551"/>
    <mergeCell ref="R542:R551"/>
    <mergeCell ref="T542:T551"/>
    <mergeCell ref="AH542:AH551"/>
    <mergeCell ref="AK542:AK551"/>
    <mergeCell ref="AL542:AL551"/>
    <mergeCell ref="AM542:AM551"/>
    <mergeCell ref="AN542:AN551"/>
    <mergeCell ref="AO542:AO551"/>
    <mergeCell ref="AP542:AP551"/>
    <mergeCell ref="AN552:AN561"/>
    <mergeCell ref="AO552:AO561"/>
    <mergeCell ref="AP552:AP561"/>
    <mergeCell ref="D562:D571"/>
    <mergeCell ref="E562:E571"/>
    <mergeCell ref="F562:F571"/>
    <mergeCell ref="G562:G571"/>
    <mergeCell ref="H562:H571"/>
    <mergeCell ref="I562:I571"/>
    <mergeCell ref="J562:J571"/>
    <mergeCell ref="K562:K571"/>
    <mergeCell ref="L562:L571"/>
    <mergeCell ref="M562:M571"/>
    <mergeCell ref="N562:N571"/>
    <mergeCell ref="O562:O571"/>
    <mergeCell ref="P562:P571"/>
    <mergeCell ref="Q562:Q571"/>
    <mergeCell ref="R562:R571"/>
    <mergeCell ref="T562:T571"/>
    <mergeCell ref="AH562:AH571"/>
    <mergeCell ref="AK562:AK571"/>
    <mergeCell ref="AL562:AL571"/>
    <mergeCell ref="AM562:AM571"/>
    <mergeCell ref="AN562:AN571"/>
    <mergeCell ref="AO562:AO571"/>
    <mergeCell ref="AP562:AP571"/>
    <mergeCell ref="D552:D561"/>
    <mergeCell ref="E552:E561"/>
    <mergeCell ref="F552:F561"/>
    <mergeCell ref="G552:G561"/>
    <mergeCell ref="H552:H561"/>
    <mergeCell ref="I552:I561"/>
    <mergeCell ref="G572:G581"/>
    <mergeCell ref="H572:H581"/>
    <mergeCell ref="I572:I581"/>
    <mergeCell ref="J572:J581"/>
    <mergeCell ref="K572:K581"/>
    <mergeCell ref="L572:L581"/>
    <mergeCell ref="M572:M581"/>
    <mergeCell ref="N572:N581"/>
    <mergeCell ref="O572:O581"/>
    <mergeCell ref="P572:P581"/>
    <mergeCell ref="Q572:Q581"/>
    <mergeCell ref="AK552:AK561"/>
    <mergeCell ref="AL552:AL561"/>
    <mergeCell ref="AM552:AM561"/>
    <mergeCell ref="J552:J561"/>
    <mergeCell ref="K552:K561"/>
    <mergeCell ref="L552:L561"/>
    <mergeCell ref="M552:M561"/>
    <mergeCell ref="N552:N561"/>
    <mergeCell ref="O552:O561"/>
    <mergeCell ref="P552:P561"/>
    <mergeCell ref="Q552:Q561"/>
    <mergeCell ref="R552:R561"/>
    <mergeCell ref="T552:T561"/>
    <mergeCell ref="AH552:AH561"/>
    <mergeCell ref="AK572:AK581"/>
    <mergeCell ref="AL572:AL581"/>
    <mergeCell ref="AM572:AM581"/>
    <mergeCell ref="AN572:AN581"/>
    <mergeCell ref="AO572:AO581"/>
    <mergeCell ref="AP572:AP581"/>
    <mergeCell ref="D582:D591"/>
    <mergeCell ref="E582:E591"/>
    <mergeCell ref="F582:F591"/>
    <mergeCell ref="G582:G591"/>
    <mergeCell ref="H582:H591"/>
    <mergeCell ref="I582:I591"/>
    <mergeCell ref="J582:J591"/>
    <mergeCell ref="K582:K591"/>
    <mergeCell ref="L582:L591"/>
    <mergeCell ref="M582:M591"/>
    <mergeCell ref="N582:N591"/>
    <mergeCell ref="O582:O591"/>
    <mergeCell ref="P582:P591"/>
    <mergeCell ref="Q582:Q591"/>
    <mergeCell ref="R582:R591"/>
    <mergeCell ref="T582:T591"/>
    <mergeCell ref="AH582:AH591"/>
    <mergeCell ref="AK582:AK591"/>
    <mergeCell ref="AL582:AL591"/>
    <mergeCell ref="AM582:AM591"/>
    <mergeCell ref="AN582:AN591"/>
    <mergeCell ref="AO582:AO591"/>
    <mergeCell ref="AP582:AP591"/>
    <mergeCell ref="D572:D581"/>
    <mergeCell ref="E572:E581"/>
    <mergeCell ref="F572:F581"/>
    <mergeCell ref="R572:R581"/>
    <mergeCell ref="T572:T581"/>
    <mergeCell ref="AH572:AH581"/>
    <mergeCell ref="AN592:AN601"/>
    <mergeCell ref="AO592:AO601"/>
    <mergeCell ref="AP592:AP601"/>
    <mergeCell ref="D602:D611"/>
    <mergeCell ref="E602:E611"/>
    <mergeCell ref="F602:F611"/>
    <mergeCell ref="G602:G611"/>
    <mergeCell ref="H602:H611"/>
    <mergeCell ref="I602:I611"/>
    <mergeCell ref="J602:J611"/>
    <mergeCell ref="K602:K611"/>
    <mergeCell ref="L602:L611"/>
    <mergeCell ref="M602:M611"/>
    <mergeCell ref="N602:N611"/>
    <mergeCell ref="O602:O611"/>
    <mergeCell ref="P602:P611"/>
    <mergeCell ref="Q602:Q611"/>
    <mergeCell ref="R602:R611"/>
    <mergeCell ref="T602:T611"/>
    <mergeCell ref="AH602:AH611"/>
    <mergeCell ref="AK602:AK611"/>
    <mergeCell ref="AL602:AL611"/>
    <mergeCell ref="AM602:AM611"/>
    <mergeCell ref="AN602:AN611"/>
    <mergeCell ref="AO602:AO611"/>
    <mergeCell ref="AP602:AP611"/>
    <mergeCell ref="D592:D601"/>
    <mergeCell ref="E592:E601"/>
    <mergeCell ref="F592:F601"/>
    <mergeCell ref="G592:G601"/>
    <mergeCell ref="H592:H601"/>
    <mergeCell ref="I592:I601"/>
    <mergeCell ref="J612:J621"/>
    <mergeCell ref="K612:K621"/>
    <mergeCell ref="L612:L621"/>
    <mergeCell ref="M612:M621"/>
    <mergeCell ref="N612:N621"/>
    <mergeCell ref="O612:O621"/>
    <mergeCell ref="P612:P621"/>
    <mergeCell ref="Q612:Q621"/>
    <mergeCell ref="R612:R621"/>
    <mergeCell ref="T612:T621"/>
    <mergeCell ref="AH612:AH621"/>
    <mergeCell ref="AK592:AK601"/>
    <mergeCell ref="AL592:AL601"/>
    <mergeCell ref="AM592:AM601"/>
    <mergeCell ref="J592:J601"/>
    <mergeCell ref="K592:K601"/>
    <mergeCell ref="L592:L601"/>
    <mergeCell ref="M592:M601"/>
    <mergeCell ref="N592:N601"/>
    <mergeCell ref="O592:O601"/>
    <mergeCell ref="P592:P601"/>
    <mergeCell ref="Q592:Q601"/>
    <mergeCell ref="R592:R601"/>
    <mergeCell ref="T592:T601"/>
    <mergeCell ref="AH592:AH601"/>
    <mergeCell ref="AK612:AK621"/>
    <mergeCell ref="AL612:AL621"/>
    <mergeCell ref="AM612:AM621"/>
    <mergeCell ref="AN612:AN621"/>
    <mergeCell ref="AO612:AO621"/>
    <mergeCell ref="AP612:AP621"/>
    <mergeCell ref="D622:D631"/>
    <mergeCell ref="E622:E631"/>
    <mergeCell ref="F622:F631"/>
    <mergeCell ref="G622:G631"/>
    <mergeCell ref="H622:H631"/>
    <mergeCell ref="I622:I631"/>
    <mergeCell ref="J622:J631"/>
    <mergeCell ref="K622:K631"/>
    <mergeCell ref="L622:L631"/>
    <mergeCell ref="M622:M631"/>
    <mergeCell ref="N622:N631"/>
    <mergeCell ref="O622:O631"/>
    <mergeCell ref="P622:P631"/>
    <mergeCell ref="Q622:Q631"/>
    <mergeCell ref="R622:R631"/>
    <mergeCell ref="T622:T631"/>
    <mergeCell ref="AH622:AH631"/>
    <mergeCell ref="AK622:AK631"/>
    <mergeCell ref="AL622:AL631"/>
    <mergeCell ref="AM622:AM631"/>
    <mergeCell ref="AN622:AN631"/>
    <mergeCell ref="AO622:AO631"/>
    <mergeCell ref="AP622:AP631"/>
    <mergeCell ref="D612:D621"/>
    <mergeCell ref="E612:E621"/>
    <mergeCell ref="F612:F621"/>
    <mergeCell ref="G612:G621"/>
    <mergeCell ref="H612:H621"/>
    <mergeCell ref="I612:I621"/>
    <mergeCell ref="AZ623:BG623"/>
    <mergeCell ref="BI623:BL623"/>
    <mergeCell ref="BN623:BR623"/>
    <mergeCell ref="BC624:BG624"/>
    <mergeCell ref="AZ627:AZ631"/>
    <mergeCell ref="D632:D641"/>
    <mergeCell ref="E632:E641"/>
    <mergeCell ref="F632:F641"/>
    <mergeCell ref="G632:G641"/>
    <mergeCell ref="H632:H641"/>
    <mergeCell ref="I632:I641"/>
    <mergeCell ref="J632:J641"/>
    <mergeCell ref="K632:K641"/>
    <mergeCell ref="L632:L641"/>
    <mergeCell ref="M632:M641"/>
    <mergeCell ref="N632:N641"/>
    <mergeCell ref="O632:O641"/>
    <mergeCell ref="P632:P641"/>
    <mergeCell ref="Q632:Q641"/>
    <mergeCell ref="R632:R641"/>
    <mergeCell ref="T632:T641"/>
    <mergeCell ref="AH632:AH641"/>
    <mergeCell ref="AK632:AK641"/>
    <mergeCell ref="AL632:AL641"/>
    <mergeCell ref="AM632:AM641"/>
    <mergeCell ref="AN632:AN641"/>
    <mergeCell ref="AO632:AO641"/>
    <mergeCell ref="AP632:AP641"/>
    <mergeCell ref="AN642:AN651"/>
    <mergeCell ref="AO642:AO651"/>
    <mergeCell ref="AP642:AP651"/>
    <mergeCell ref="D652:D661"/>
    <mergeCell ref="E652:E661"/>
    <mergeCell ref="F652:F661"/>
    <mergeCell ref="G652:G661"/>
    <mergeCell ref="H652:H661"/>
    <mergeCell ref="I652:I661"/>
    <mergeCell ref="J652:J661"/>
    <mergeCell ref="K652:K661"/>
    <mergeCell ref="L652:L661"/>
    <mergeCell ref="M652:M661"/>
    <mergeCell ref="N652:N661"/>
    <mergeCell ref="O652:O661"/>
    <mergeCell ref="P652:P661"/>
    <mergeCell ref="Q652:Q661"/>
    <mergeCell ref="R652:R661"/>
    <mergeCell ref="T652:T661"/>
    <mergeCell ref="AH652:AH661"/>
    <mergeCell ref="AK652:AK661"/>
    <mergeCell ref="AL652:AL661"/>
    <mergeCell ref="AM652:AM661"/>
    <mergeCell ref="AN652:AN661"/>
    <mergeCell ref="AO652:AO661"/>
    <mergeCell ref="AP652:AP661"/>
    <mergeCell ref="D642:D651"/>
    <mergeCell ref="E642:E651"/>
    <mergeCell ref="F642:F651"/>
    <mergeCell ref="G642:G651"/>
    <mergeCell ref="H642:H651"/>
    <mergeCell ref="I642:I651"/>
    <mergeCell ref="J662:J671"/>
    <mergeCell ref="K662:K671"/>
    <mergeCell ref="L662:L671"/>
    <mergeCell ref="M662:M671"/>
    <mergeCell ref="N662:N671"/>
    <mergeCell ref="O662:O671"/>
    <mergeCell ref="P662:P671"/>
    <mergeCell ref="Q662:Q671"/>
    <mergeCell ref="R662:R671"/>
    <mergeCell ref="T662:T671"/>
    <mergeCell ref="AH662:AH671"/>
    <mergeCell ref="AK642:AK651"/>
    <mergeCell ref="AL642:AL651"/>
    <mergeCell ref="AM642:AM651"/>
    <mergeCell ref="J642:J651"/>
    <mergeCell ref="K642:K651"/>
    <mergeCell ref="L642:L651"/>
    <mergeCell ref="M642:M651"/>
    <mergeCell ref="N642:N651"/>
    <mergeCell ref="O642:O651"/>
    <mergeCell ref="P642:P651"/>
    <mergeCell ref="Q642:Q651"/>
    <mergeCell ref="R642:R651"/>
    <mergeCell ref="T642:T651"/>
    <mergeCell ref="AH642:AH651"/>
    <mergeCell ref="AK662:AK671"/>
    <mergeCell ref="AL662:AL671"/>
    <mergeCell ref="AM662:AM671"/>
    <mergeCell ref="AN662:AN671"/>
    <mergeCell ref="AO662:AO671"/>
    <mergeCell ref="AP662:AP671"/>
    <mergeCell ref="D672:D681"/>
    <mergeCell ref="E672:E681"/>
    <mergeCell ref="F672:F681"/>
    <mergeCell ref="G672:G681"/>
    <mergeCell ref="H672:H681"/>
    <mergeCell ref="I672:I681"/>
    <mergeCell ref="J672:J681"/>
    <mergeCell ref="K672:K681"/>
    <mergeCell ref="L672:L681"/>
    <mergeCell ref="M672:M681"/>
    <mergeCell ref="N672:N681"/>
    <mergeCell ref="O672:O681"/>
    <mergeCell ref="P672:P681"/>
    <mergeCell ref="Q672:Q681"/>
    <mergeCell ref="R672:R681"/>
    <mergeCell ref="T672:T681"/>
    <mergeCell ref="AH672:AH681"/>
    <mergeCell ref="AK672:AK681"/>
    <mergeCell ref="AL672:AL681"/>
    <mergeCell ref="AM672:AM681"/>
    <mergeCell ref="AN672:AN681"/>
    <mergeCell ref="AO672:AO681"/>
    <mergeCell ref="AP672:AP681"/>
    <mergeCell ref="D662:D671"/>
    <mergeCell ref="E662:E671"/>
    <mergeCell ref="F662:F671"/>
    <mergeCell ref="G662:G671"/>
    <mergeCell ref="H662:H671"/>
    <mergeCell ref="I662:I671"/>
    <mergeCell ref="AN682:AN691"/>
    <mergeCell ref="AO682:AO691"/>
    <mergeCell ref="AP682:AP691"/>
    <mergeCell ref="D692:D701"/>
    <mergeCell ref="E692:E701"/>
    <mergeCell ref="F692:F701"/>
    <mergeCell ref="G692:G701"/>
    <mergeCell ref="H692:H701"/>
    <mergeCell ref="I692:I701"/>
    <mergeCell ref="J692:J701"/>
    <mergeCell ref="K692:K701"/>
    <mergeCell ref="L692:L701"/>
    <mergeCell ref="M692:M701"/>
    <mergeCell ref="N692:N701"/>
    <mergeCell ref="O692:O701"/>
    <mergeCell ref="P692:P701"/>
    <mergeCell ref="Q692:Q701"/>
    <mergeCell ref="R692:R701"/>
    <mergeCell ref="T692:T701"/>
    <mergeCell ref="AH692:AH701"/>
    <mergeCell ref="AK692:AK701"/>
    <mergeCell ref="AL692:AL701"/>
    <mergeCell ref="AM692:AM701"/>
    <mergeCell ref="AN692:AN701"/>
    <mergeCell ref="AO692:AO701"/>
    <mergeCell ref="AP692:AP701"/>
    <mergeCell ref="D682:D691"/>
    <mergeCell ref="E682:E691"/>
    <mergeCell ref="F682:F691"/>
    <mergeCell ref="G682:G691"/>
    <mergeCell ref="H682:H691"/>
    <mergeCell ref="I682:I691"/>
    <mergeCell ref="AK682:AK691"/>
    <mergeCell ref="AL682:AL691"/>
    <mergeCell ref="AM682:AM691"/>
    <mergeCell ref="J682:J691"/>
    <mergeCell ref="K682:K691"/>
    <mergeCell ref="L682:L691"/>
    <mergeCell ref="M682:M691"/>
    <mergeCell ref="N682:N691"/>
    <mergeCell ref="O682:O691"/>
    <mergeCell ref="P682:P691"/>
    <mergeCell ref="Q682:Q691"/>
    <mergeCell ref="R682:R691"/>
    <mergeCell ref="T682:T691"/>
    <mergeCell ref="AH682:AH691"/>
    <mergeCell ref="AK702:AK711"/>
    <mergeCell ref="AL702:AL711"/>
    <mergeCell ref="AM702:AM711"/>
    <mergeCell ref="D702:D711"/>
    <mergeCell ref="E702:E711"/>
    <mergeCell ref="F702:F711"/>
    <mergeCell ref="G702:G711"/>
    <mergeCell ref="H702:H711"/>
    <mergeCell ref="I702:I711"/>
    <mergeCell ref="J702:J711"/>
    <mergeCell ref="K702:K711"/>
    <mergeCell ref="L702:L711"/>
    <mergeCell ref="M702:M711"/>
    <mergeCell ref="N702:N711"/>
    <mergeCell ref="O702:O711"/>
    <mergeCell ref="P702:P711"/>
    <mergeCell ref="Q702:Q711"/>
    <mergeCell ref="R702:R711"/>
    <mergeCell ref="T702:T711"/>
    <mergeCell ref="AH702:AH711"/>
    <mergeCell ref="D712:D721"/>
    <mergeCell ref="E712:E721"/>
    <mergeCell ref="F712:F721"/>
    <mergeCell ref="G712:G721"/>
    <mergeCell ref="H712:H721"/>
    <mergeCell ref="I712:I721"/>
    <mergeCell ref="J712:J721"/>
    <mergeCell ref="K712:K721"/>
    <mergeCell ref="L712:L721"/>
    <mergeCell ref="M712:M721"/>
    <mergeCell ref="N712:N721"/>
    <mergeCell ref="O712:O721"/>
    <mergeCell ref="P712:P721"/>
    <mergeCell ref="Q712:Q721"/>
    <mergeCell ref="R712:R721"/>
    <mergeCell ref="T712:T721"/>
    <mergeCell ref="AH712:AH721"/>
    <mergeCell ref="G722:G731"/>
    <mergeCell ref="H722:H731"/>
    <mergeCell ref="I722:I731"/>
    <mergeCell ref="J722:J731"/>
    <mergeCell ref="K722:K731"/>
    <mergeCell ref="L722:L731"/>
    <mergeCell ref="M722:M731"/>
    <mergeCell ref="N722:N731"/>
    <mergeCell ref="O722:O731"/>
    <mergeCell ref="P722:P731"/>
    <mergeCell ref="Q722:Q731"/>
    <mergeCell ref="R722:R731"/>
    <mergeCell ref="T722:T731"/>
    <mergeCell ref="AH722:AH731"/>
    <mergeCell ref="AN702:AN711"/>
    <mergeCell ref="AO702:AO711"/>
    <mergeCell ref="AP702:AP711"/>
    <mergeCell ref="AK712:AK721"/>
    <mergeCell ref="AL712:AL721"/>
    <mergeCell ref="AM712:AM721"/>
    <mergeCell ref="AN712:AN721"/>
    <mergeCell ref="AO712:AO721"/>
    <mergeCell ref="AP712:AP721"/>
    <mergeCell ref="AK722:AK731"/>
    <mergeCell ref="AL722:AL731"/>
    <mergeCell ref="AM722:AM731"/>
    <mergeCell ref="AN722:AN731"/>
    <mergeCell ref="AO722:AO731"/>
    <mergeCell ref="AP722:AP731"/>
    <mergeCell ref="D732:D741"/>
    <mergeCell ref="E732:E741"/>
    <mergeCell ref="F732:F741"/>
    <mergeCell ref="G732:G741"/>
    <mergeCell ref="H732:H741"/>
    <mergeCell ref="I732:I741"/>
    <mergeCell ref="J732:J741"/>
    <mergeCell ref="K732:K741"/>
    <mergeCell ref="L732:L741"/>
    <mergeCell ref="M732:M741"/>
    <mergeCell ref="N732:N741"/>
    <mergeCell ref="O732:O741"/>
    <mergeCell ref="P732:P741"/>
    <mergeCell ref="Q732:Q741"/>
    <mergeCell ref="R732:R741"/>
    <mergeCell ref="T732:T741"/>
    <mergeCell ref="AH732:AH741"/>
    <mergeCell ref="AK732:AK741"/>
    <mergeCell ref="AL732:AL741"/>
    <mergeCell ref="AM732:AM741"/>
    <mergeCell ref="AN732:AN741"/>
    <mergeCell ref="AO732:AO741"/>
    <mergeCell ref="AP732:AP741"/>
    <mergeCell ref="D722:D731"/>
    <mergeCell ref="E722:E731"/>
    <mergeCell ref="F722:F731"/>
    <mergeCell ref="AN742:AN751"/>
    <mergeCell ref="AO742:AO751"/>
    <mergeCell ref="AP742:AP751"/>
    <mergeCell ref="D752:D761"/>
    <mergeCell ref="E752:E761"/>
    <mergeCell ref="F752:F761"/>
    <mergeCell ref="G752:G761"/>
    <mergeCell ref="H752:H761"/>
    <mergeCell ref="I752:I761"/>
    <mergeCell ref="J752:J761"/>
    <mergeCell ref="K752:K761"/>
    <mergeCell ref="L752:L761"/>
    <mergeCell ref="M752:M761"/>
    <mergeCell ref="N752:N761"/>
    <mergeCell ref="O752:O761"/>
    <mergeCell ref="P752:P761"/>
    <mergeCell ref="Q752:Q761"/>
    <mergeCell ref="R752:R761"/>
    <mergeCell ref="T752:T761"/>
    <mergeCell ref="AH752:AH761"/>
    <mergeCell ref="AK752:AK761"/>
    <mergeCell ref="AL752:AL761"/>
    <mergeCell ref="AM752:AM761"/>
    <mergeCell ref="AN752:AN761"/>
    <mergeCell ref="AO752:AO761"/>
    <mergeCell ref="AP752:AP761"/>
    <mergeCell ref="D742:D751"/>
    <mergeCell ref="E742:E751"/>
    <mergeCell ref="F742:F751"/>
    <mergeCell ref="G742:G751"/>
    <mergeCell ref="H742:H751"/>
    <mergeCell ref="I742:I751"/>
    <mergeCell ref="G762:G771"/>
    <mergeCell ref="H762:H771"/>
    <mergeCell ref="I762:I771"/>
    <mergeCell ref="J762:J771"/>
    <mergeCell ref="K762:K771"/>
    <mergeCell ref="L762:L771"/>
    <mergeCell ref="M762:M771"/>
    <mergeCell ref="N762:N771"/>
    <mergeCell ref="O762:O771"/>
    <mergeCell ref="P762:P771"/>
    <mergeCell ref="Q762:Q771"/>
    <mergeCell ref="R762:R771"/>
    <mergeCell ref="T762:T771"/>
    <mergeCell ref="AH762:AH771"/>
    <mergeCell ref="AK742:AK751"/>
    <mergeCell ref="AL742:AL751"/>
    <mergeCell ref="AM742:AM751"/>
    <mergeCell ref="J742:J751"/>
    <mergeCell ref="K742:K751"/>
    <mergeCell ref="L742:L751"/>
    <mergeCell ref="M742:M751"/>
    <mergeCell ref="N742:N751"/>
    <mergeCell ref="O742:O751"/>
    <mergeCell ref="P742:P751"/>
    <mergeCell ref="Q742:Q751"/>
    <mergeCell ref="R742:R751"/>
    <mergeCell ref="T742:T751"/>
    <mergeCell ref="AH742:AH751"/>
    <mergeCell ref="AK762:AK771"/>
    <mergeCell ref="AL762:AL771"/>
    <mergeCell ref="AM762:AM771"/>
    <mergeCell ref="AN762:AN771"/>
    <mergeCell ref="AO762:AO771"/>
    <mergeCell ref="AP762:AP771"/>
    <mergeCell ref="D772:D781"/>
    <mergeCell ref="E772:E781"/>
    <mergeCell ref="F772:F781"/>
    <mergeCell ref="G772:G781"/>
    <mergeCell ref="H772:H781"/>
    <mergeCell ref="I772:I781"/>
    <mergeCell ref="J772:J781"/>
    <mergeCell ref="K772:K781"/>
    <mergeCell ref="L772:L781"/>
    <mergeCell ref="M772:M781"/>
    <mergeCell ref="N772:N781"/>
    <mergeCell ref="O772:O781"/>
    <mergeCell ref="P772:P781"/>
    <mergeCell ref="Q772:Q781"/>
    <mergeCell ref="R772:R781"/>
    <mergeCell ref="T772:T781"/>
    <mergeCell ref="AH772:AH781"/>
    <mergeCell ref="AK772:AK781"/>
    <mergeCell ref="AL772:AL781"/>
    <mergeCell ref="AM772:AM781"/>
    <mergeCell ref="AN772:AN781"/>
    <mergeCell ref="AO772:AO781"/>
    <mergeCell ref="AP772:AP781"/>
    <mergeCell ref="D762:D771"/>
    <mergeCell ref="E762:E771"/>
    <mergeCell ref="F762:F771"/>
    <mergeCell ref="AN782:AN791"/>
    <mergeCell ref="AO782:AO791"/>
    <mergeCell ref="AP782:AP791"/>
    <mergeCell ref="D792:D801"/>
    <mergeCell ref="E792:E801"/>
    <mergeCell ref="F792:F801"/>
    <mergeCell ref="G792:G801"/>
    <mergeCell ref="H792:H801"/>
    <mergeCell ref="I792:I801"/>
    <mergeCell ref="J792:J801"/>
    <mergeCell ref="K792:K801"/>
    <mergeCell ref="L792:L801"/>
    <mergeCell ref="M792:M801"/>
    <mergeCell ref="N792:N801"/>
    <mergeCell ref="O792:O801"/>
    <mergeCell ref="P792:P801"/>
    <mergeCell ref="Q792:Q801"/>
    <mergeCell ref="R792:R801"/>
    <mergeCell ref="T792:T801"/>
    <mergeCell ref="AH792:AH801"/>
    <mergeCell ref="AK792:AK801"/>
    <mergeCell ref="AL792:AL801"/>
    <mergeCell ref="AM792:AM801"/>
    <mergeCell ref="AN792:AN801"/>
    <mergeCell ref="AO792:AO801"/>
    <mergeCell ref="AP792:AP801"/>
    <mergeCell ref="D782:D791"/>
    <mergeCell ref="E782:E791"/>
    <mergeCell ref="F782:F791"/>
    <mergeCell ref="G782:G791"/>
    <mergeCell ref="H782:H791"/>
    <mergeCell ref="I782:I791"/>
    <mergeCell ref="G802:G811"/>
    <mergeCell ref="H802:H811"/>
    <mergeCell ref="I802:I811"/>
    <mergeCell ref="J802:J811"/>
    <mergeCell ref="K802:K811"/>
    <mergeCell ref="L802:L811"/>
    <mergeCell ref="M802:M811"/>
    <mergeCell ref="N802:N811"/>
    <mergeCell ref="O802:O811"/>
    <mergeCell ref="P802:P811"/>
    <mergeCell ref="Q802:Q811"/>
    <mergeCell ref="R802:R811"/>
    <mergeCell ref="AK782:AK791"/>
    <mergeCell ref="AL782:AL791"/>
    <mergeCell ref="AM782:AM791"/>
    <mergeCell ref="J782:J791"/>
    <mergeCell ref="K782:K791"/>
    <mergeCell ref="L782:L791"/>
    <mergeCell ref="M782:M791"/>
    <mergeCell ref="N782:N791"/>
    <mergeCell ref="O782:O791"/>
    <mergeCell ref="P782:P791"/>
    <mergeCell ref="Q782:Q791"/>
    <mergeCell ref="R782:R791"/>
    <mergeCell ref="T782:T791"/>
    <mergeCell ref="AH782:AH791"/>
    <mergeCell ref="AK802:AK811"/>
    <mergeCell ref="AL802:AL811"/>
    <mergeCell ref="AM802:AM811"/>
    <mergeCell ref="AN802:AN811"/>
    <mergeCell ref="AO802:AO811"/>
    <mergeCell ref="AP802:AP811"/>
    <mergeCell ref="D812:D821"/>
    <mergeCell ref="E812:E821"/>
    <mergeCell ref="F812:F821"/>
    <mergeCell ref="G812:G821"/>
    <mergeCell ref="H812:H821"/>
    <mergeCell ref="I812:I821"/>
    <mergeCell ref="J812:J821"/>
    <mergeCell ref="K812:K821"/>
    <mergeCell ref="L812:L821"/>
    <mergeCell ref="M812:M821"/>
    <mergeCell ref="N812:N821"/>
    <mergeCell ref="O812:O821"/>
    <mergeCell ref="P812:P821"/>
    <mergeCell ref="Q812:Q821"/>
    <mergeCell ref="R812:R821"/>
    <mergeCell ref="T812:T821"/>
    <mergeCell ref="AH812:AH821"/>
    <mergeCell ref="AK812:AK821"/>
    <mergeCell ref="AL812:AL821"/>
    <mergeCell ref="AM812:AM821"/>
    <mergeCell ref="AN812:AN821"/>
    <mergeCell ref="AO812:AO821"/>
    <mergeCell ref="AP812:AP821"/>
    <mergeCell ref="D802:D811"/>
    <mergeCell ref="E802:E811"/>
    <mergeCell ref="F802:F811"/>
    <mergeCell ref="T802:T811"/>
    <mergeCell ref="AH802:AH811"/>
    <mergeCell ref="AN822:AN831"/>
    <mergeCell ref="AO822:AO831"/>
    <mergeCell ref="AP822:AP831"/>
    <mergeCell ref="D832:D841"/>
    <mergeCell ref="E832:E841"/>
    <mergeCell ref="F832:F841"/>
    <mergeCell ref="G832:G841"/>
    <mergeCell ref="H832:H841"/>
    <mergeCell ref="I832:I841"/>
    <mergeCell ref="J832:J841"/>
    <mergeCell ref="K832:K841"/>
    <mergeCell ref="L832:L841"/>
    <mergeCell ref="M832:M841"/>
    <mergeCell ref="N832:N841"/>
    <mergeCell ref="O832:O841"/>
    <mergeCell ref="P832:P841"/>
    <mergeCell ref="Q832:Q841"/>
    <mergeCell ref="R832:R841"/>
    <mergeCell ref="T832:T841"/>
    <mergeCell ref="AH832:AH841"/>
    <mergeCell ref="AK832:AK841"/>
    <mergeCell ref="AL832:AL841"/>
    <mergeCell ref="AM832:AM841"/>
    <mergeCell ref="AN832:AN841"/>
    <mergeCell ref="AO832:AO841"/>
    <mergeCell ref="AP832:AP841"/>
    <mergeCell ref="D822:D831"/>
    <mergeCell ref="E822:E831"/>
    <mergeCell ref="F822:F831"/>
    <mergeCell ref="G822:G831"/>
    <mergeCell ref="H822:H831"/>
    <mergeCell ref="I822:I831"/>
    <mergeCell ref="J842:J851"/>
    <mergeCell ref="K842:K851"/>
    <mergeCell ref="L842:L851"/>
    <mergeCell ref="M842:M851"/>
    <mergeCell ref="N842:N851"/>
    <mergeCell ref="O842:O851"/>
    <mergeCell ref="P842:P851"/>
    <mergeCell ref="Q842:Q851"/>
    <mergeCell ref="R842:R851"/>
    <mergeCell ref="T842:T851"/>
    <mergeCell ref="AH842:AH851"/>
    <mergeCell ref="AK822:AK831"/>
    <mergeCell ref="AL822:AL831"/>
    <mergeCell ref="AM822:AM831"/>
    <mergeCell ref="J822:J831"/>
    <mergeCell ref="K822:K831"/>
    <mergeCell ref="L822:L831"/>
    <mergeCell ref="M822:M831"/>
    <mergeCell ref="N822:N831"/>
    <mergeCell ref="O822:O831"/>
    <mergeCell ref="P822:P831"/>
    <mergeCell ref="Q822:Q831"/>
    <mergeCell ref="R822:R831"/>
    <mergeCell ref="T822:T831"/>
    <mergeCell ref="AH822:AH831"/>
    <mergeCell ref="AK842:AK851"/>
    <mergeCell ref="AL842:AL851"/>
    <mergeCell ref="AM842:AM851"/>
    <mergeCell ref="AN842:AN851"/>
    <mergeCell ref="AO842:AO851"/>
    <mergeCell ref="AP842:AP851"/>
    <mergeCell ref="D852:D861"/>
    <mergeCell ref="E852:E861"/>
    <mergeCell ref="F852:F861"/>
    <mergeCell ref="G852:G861"/>
    <mergeCell ref="H852:H861"/>
    <mergeCell ref="I852:I861"/>
    <mergeCell ref="J852:J861"/>
    <mergeCell ref="K852:K861"/>
    <mergeCell ref="L852:L861"/>
    <mergeCell ref="M852:M861"/>
    <mergeCell ref="N852:N861"/>
    <mergeCell ref="O852:O861"/>
    <mergeCell ref="P852:P861"/>
    <mergeCell ref="Q852:Q861"/>
    <mergeCell ref="R852:R861"/>
    <mergeCell ref="T852:T861"/>
    <mergeCell ref="AH852:AH861"/>
    <mergeCell ref="AK852:AK861"/>
    <mergeCell ref="AL852:AL861"/>
    <mergeCell ref="AM852:AM861"/>
    <mergeCell ref="AN852:AN861"/>
    <mergeCell ref="AO852:AO861"/>
    <mergeCell ref="AP852:AP861"/>
    <mergeCell ref="D842:D851"/>
    <mergeCell ref="E842:E851"/>
    <mergeCell ref="F842:F851"/>
    <mergeCell ref="G842:G851"/>
    <mergeCell ref="H842:H851"/>
    <mergeCell ref="I842:I851"/>
    <mergeCell ref="AN862:AN871"/>
    <mergeCell ref="AO862:AO871"/>
    <mergeCell ref="AP862:AP871"/>
    <mergeCell ref="D872:D881"/>
    <mergeCell ref="E872:E881"/>
    <mergeCell ref="F872:F881"/>
    <mergeCell ref="G872:G881"/>
    <mergeCell ref="H872:H881"/>
    <mergeCell ref="I872:I881"/>
    <mergeCell ref="J872:J881"/>
    <mergeCell ref="K872:K881"/>
    <mergeCell ref="L872:L881"/>
    <mergeCell ref="M872:M881"/>
    <mergeCell ref="N872:N881"/>
    <mergeCell ref="O872:O881"/>
    <mergeCell ref="P872:P881"/>
    <mergeCell ref="Q872:Q881"/>
    <mergeCell ref="R872:R881"/>
    <mergeCell ref="T872:T881"/>
    <mergeCell ref="AH872:AH881"/>
    <mergeCell ref="AK872:AK881"/>
    <mergeCell ref="AL872:AL881"/>
    <mergeCell ref="AM872:AM881"/>
    <mergeCell ref="AN872:AN881"/>
    <mergeCell ref="AO872:AO881"/>
    <mergeCell ref="AP872:AP881"/>
    <mergeCell ref="D862:D871"/>
    <mergeCell ref="E862:E871"/>
    <mergeCell ref="F862:F871"/>
    <mergeCell ref="G862:G871"/>
    <mergeCell ref="H862:H871"/>
    <mergeCell ref="I862:I871"/>
    <mergeCell ref="J882:J891"/>
    <mergeCell ref="K882:K891"/>
    <mergeCell ref="L882:L891"/>
    <mergeCell ref="M882:M891"/>
    <mergeCell ref="N882:N891"/>
    <mergeCell ref="O882:O891"/>
    <mergeCell ref="P882:P891"/>
    <mergeCell ref="Q882:Q891"/>
    <mergeCell ref="R882:R891"/>
    <mergeCell ref="T882:T891"/>
    <mergeCell ref="AH882:AH891"/>
    <mergeCell ref="AK862:AK871"/>
    <mergeCell ref="AL862:AL871"/>
    <mergeCell ref="AM862:AM871"/>
    <mergeCell ref="J862:J871"/>
    <mergeCell ref="K862:K871"/>
    <mergeCell ref="L862:L871"/>
    <mergeCell ref="M862:M871"/>
    <mergeCell ref="N862:N871"/>
    <mergeCell ref="O862:O871"/>
    <mergeCell ref="P862:P871"/>
    <mergeCell ref="Q862:Q871"/>
    <mergeCell ref="R862:R871"/>
    <mergeCell ref="T862:T871"/>
    <mergeCell ref="AH862:AH871"/>
    <mergeCell ref="AK882:AK891"/>
    <mergeCell ref="AL882:AL891"/>
    <mergeCell ref="AM882:AM891"/>
    <mergeCell ref="AN882:AN891"/>
    <mergeCell ref="AO882:AO891"/>
    <mergeCell ref="AP882:AP891"/>
    <mergeCell ref="D892:D901"/>
    <mergeCell ref="E892:E901"/>
    <mergeCell ref="F892:F901"/>
    <mergeCell ref="G892:G901"/>
    <mergeCell ref="H892:H901"/>
    <mergeCell ref="I892:I901"/>
    <mergeCell ref="J892:J901"/>
    <mergeCell ref="K892:K901"/>
    <mergeCell ref="L892:L901"/>
    <mergeCell ref="M892:M901"/>
    <mergeCell ref="N892:N901"/>
    <mergeCell ref="O892:O901"/>
    <mergeCell ref="P892:P901"/>
    <mergeCell ref="Q892:Q901"/>
    <mergeCell ref="R892:R901"/>
    <mergeCell ref="T892:T901"/>
    <mergeCell ref="AH892:AH901"/>
    <mergeCell ref="AK892:AK901"/>
    <mergeCell ref="AL892:AL901"/>
    <mergeCell ref="AM892:AM901"/>
    <mergeCell ref="AN892:AN901"/>
    <mergeCell ref="AO892:AO901"/>
    <mergeCell ref="AP892:AP901"/>
    <mergeCell ref="D882:D891"/>
    <mergeCell ref="E882:E891"/>
    <mergeCell ref="F882:F891"/>
    <mergeCell ref="G882:G891"/>
    <mergeCell ref="H882:H891"/>
    <mergeCell ref="I882:I891"/>
    <mergeCell ref="AN902:AN911"/>
    <mergeCell ref="AO902:AO911"/>
    <mergeCell ref="AP902:AP911"/>
    <mergeCell ref="D912:D921"/>
    <mergeCell ref="E912:E921"/>
    <mergeCell ref="F912:F921"/>
    <mergeCell ref="G912:G921"/>
    <mergeCell ref="H912:H921"/>
    <mergeCell ref="I912:I921"/>
    <mergeCell ref="J912:J921"/>
    <mergeCell ref="K912:K921"/>
    <mergeCell ref="L912:L921"/>
    <mergeCell ref="M912:M921"/>
    <mergeCell ref="N912:N921"/>
    <mergeCell ref="O912:O921"/>
    <mergeCell ref="P912:P921"/>
    <mergeCell ref="Q912:Q921"/>
    <mergeCell ref="R912:R921"/>
    <mergeCell ref="T912:T921"/>
    <mergeCell ref="AH912:AH921"/>
    <mergeCell ref="AK912:AK921"/>
    <mergeCell ref="AL912:AL921"/>
    <mergeCell ref="AM912:AM921"/>
    <mergeCell ref="AN912:AN921"/>
    <mergeCell ref="AO912:AO921"/>
    <mergeCell ref="AP912:AP921"/>
    <mergeCell ref="D902:D911"/>
    <mergeCell ref="E902:E911"/>
    <mergeCell ref="F902:F911"/>
    <mergeCell ref="G902:G911"/>
    <mergeCell ref="H902:H911"/>
    <mergeCell ref="I902:I911"/>
    <mergeCell ref="J922:J931"/>
    <mergeCell ref="K922:K931"/>
    <mergeCell ref="L922:L931"/>
    <mergeCell ref="M922:M931"/>
    <mergeCell ref="N922:N931"/>
    <mergeCell ref="O922:O931"/>
    <mergeCell ref="P922:P931"/>
    <mergeCell ref="Q922:Q931"/>
    <mergeCell ref="R922:R931"/>
    <mergeCell ref="T922:T931"/>
    <mergeCell ref="AH922:AH931"/>
    <mergeCell ref="AK902:AK911"/>
    <mergeCell ref="AL902:AL911"/>
    <mergeCell ref="AM902:AM911"/>
    <mergeCell ref="J902:J911"/>
    <mergeCell ref="K902:K911"/>
    <mergeCell ref="L902:L911"/>
    <mergeCell ref="M902:M911"/>
    <mergeCell ref="N902:N911"/>
    <mergeCell ref="O902:O911"/>
    <mergeCell ref="P902:P911"/>
    <mergeCell ref="Q902:Q911"/>
    <mergeCell ref="R902:R911"/>
    <mergeCell ref="T902:T911"/>
    <mergeCell ref="AH902:AH911"/>
    <mergeCell ref="AK922:AK931"/>
    <mergeCell ref="AL922:AL931"/>
    <mergeCell ref="AM922:AM931"/>
    <mergeCell ref="AN922:AN931"/>
    <mergeCell ref="AO922:AO931"/>
    <mergeCell ref="AP922:AP931"/>
    <mergeCell ref="D932:D941"/>
    <mergeCell ref="E932:E941"/>
    <mergeCell ref="F932:F941"/>
    <mergeCell ref="G932:G941"/>
    <mergeCell ref="H932:H941"/>
    <mergeCell ref="I932:I941"/>
    <mergeCell ref="J932:J941"/>
    <mergeCell ref="K932:K941"/>
    <mergeCell ref="L932:L941"/>
    <mergeCell ref="M932:M941"/>
    <mergeCell ref="N932:N941"/>
    <mergeCell ref="O932:O941"/>
    <mergeCell ref="P932:P941"/>
    <mergeCell ref="Q932:Q941"/>
    <mergeCell ref="R932:R941"/>
    <mergeCell ref="T932:T941"/>
    <mergeCell ref="AH932:AH941"/>
    <mergeCell ref="AK932:AK941"/>
    <mergeCell ref="AL932:AL941"/>
    <mergeCell ref="AM932:AM941"/>
    <mergeCell ref="AN932:AN941"/>
    <mergeCell ref="AO932:AO941"/>
    <mergeCell ref="AP932:AP941"/>
    <mergeCell ref="D922:D931"/>
    <mergeCell ref="E922:E931"/>
    <mergeCell ref="F922:F931"/>
    <mergeCell ref="G922:G931"/>
    <mergeCell ref="H922:H931"/>
    <mergeCell ref="I922:I931"/>
    <mergeCell ref="D942:D951"/>
    <mergeCell ref="E942:E951"/>
    <mergeCell ref="F942:F951"/>
    <mergeCell ref="G942:G951"/>
    <mergeCell ref="H942:H951"/>
    <mergeCell ref="I942:I951"/>
    <mergeCell ref="J942:J951"/>
    <mergeCell ref="K942:K951"/>
    <mergeCell ref="L942:L951"/>
    <mergeCell ref="M942:M951"/>
    <mergeCell ref="N942:N951"/>
    <mergeCell ref="O942:O951"/>
    <mergeCell ref="P942:P951"/>
    <mergeCell ref="Q942:Q951"/>
    <mergeCell ref="R942:R951"/>
    <mergeCell ref="T942:T951"/>
    <mergeCell ref="AH942:AH951"/>
    <mergeCell ref="AK942:AK951"/>
    <mergeCell ref="AL942:AL951"/>
    <mergeCell ref="AM942:AM951"/>
    <mergeCell ref="AN942:AN951"/>
    <mergeCell ref="AO942:AO951"/>
    <mergeCell ref="AP942:AP951"/>
    <mergeCell ref="AZ943:BG943"/>
    <mergeCell ref="BI943:BL943"/>
    <mergeCell ref="BN943:BR943"/>
    <mergeCell ref="BC944:BG944"/>
    <mergeCell ref="AZ947:AZ951"/>
    <mergeCell ref="D952:D961"/>
    <mergeCell ref="E952:E961"/>
    <mergeCell ref="F952:F961"/>
    <mergeCell ref="G952:G961"/>
    <mergeCell ref="H952:H961"/>
    <mergeCell ref="I952:I961"/>
    <mergeCell ref="J952:J961"/>
    <mergeCell ref="K952:K961"/>
    <mergeCell ref="L952:L961"/>
    <mergeCell ref="M952:M961"/>
    <mergeCell ref="N952:N961"/>
    <mergeCell ref="O952:O961"/>
    <mergeCell ref="P952:P961"/>
    <mergeCell ref="Q952:Q961"/>
    <mergeCell ref="R952:R961"/>
    <mergeCell ref="T952:T961"/>
    <mergeCell ref="AH952:AH961"/>
    <mergeCell ref="AK952:AK961"/>
    <mergeCell ref="AL952:AL961"/>
    <mergeCell ref="AM952:AM961"/>
    <mergeCell ref="AN952:AN961"/>
    <mergeCell ref="AO952:AO961"/>
    <mergeCell ref="AP952:AP961"/>
    <mergeCell ref="D962:D971"/>
    <mergeCell ref="E962:E971"/>
    <mergeCell ref="F962:F971"/>
    <mergeCell ref="G962:G971"/>
    <mergeCell ref="H962:H971"/>
    <mergeCell ref="I962:I971"/>
    <mergeCell ref="J962:J971"/>
    <mergeCell ref="K962:K971"/>
    <mergeCell ref="L962:L971"/>
    <mergeCell ref="M962:M971"/>
    <mergeCell ref="N962:N971"/>
    <mergeCell ref="O962:O971"/>
    <mergeCell ref="P962:P971"/>
    <mergeCell ref="Q962:Q971"/>
    <mergeCell ref="R962:R971"/>
    <mergeCell ref="T962:T971"/>
    <mergeCell ref="AH962:AH971"/>
    <mergeCell ref="AK962:AK971"/>
    <mergeCell ref="AL962:AL971"/>
    <mergeCell ref="AM962:AM971"/>
    <mergeCell ref="AN962:AN971"/>
    <mergeCell ref="AO962:AO971"/>
    <mergeCell ref="AP962:AP971"/>
    <mergeCell ref="AN972:AN981"/>
    <mergeCell ref="AO972:AO981"/>
    <mergeCell ref="AP972:AP981"/>
    <mergeCell ref="D982:D991"/>
    <mergeCell ref="E982:E991"/>
    <mergeCell ref="F982:F991"/>
    <mergeCell ref="G982:G991"/>
    <mergeCell ref="H982:H991"/>
    <mergeCell ref="I982:I991"/>
    <mergeCell ref="J982:J991"/>
    <mergeCell ref="K982:K991"/>
    <mergeCell ref="L982:L991"/>
    <mergeCell ref="M982:M991"/>
    <mergeCell ref="N982:N991"/>
    <mergeCell ref="O982:O991"/>
    <mergeCell ref="P982:P991"/>
    <mergeCell ref="Q982:Q991"/>
    <mergeCell ref="R982:R991"/>
    <mergeCell ref="T982:T991"/>
    <mergeCell ref="AH982:AH991"/>
    <mergeCell ref="AK982:AK991"/>
    <mergeCell ref="AL982:AL991"/>
    <mergeCell ref="AM982:AM991"/>
    <mergeCell ref="AN982:AN991"/>
    <mergeCell ref="AO982:AO991"/>
    <mergeCell ref="AP982:AP991"/>
    <mergeCell ref="D972:D981"/>
    <mergeCell ref="E972:E981"/>
    <mergeCell ref="F972:F981"/>
    <mergeCell ref="G972:G981"/>
    <mergeCell ref="H972:H981"/>
    <mergeCell ref="I972:I981"/>
    <mergeCell ref="AK972:AK981"/>
    <mergeCell ref="AL972:AL981"/>
    <mergeCell ref="AM972:AM981"/>
    <mergeCell ref="J972:J981"/>
    <mergeCell ref="K972:K981"/>
    <mergeCell ref="L972:L981"/>
    <mergeCell ref="M972:M981"/>
    <mergeCell ref="N972:N981"/>
    <mergeCell ref="O972:O981"/>
    <mergeCell ref="P972:P981"/>
    <mergeCell ref="Q972:Q981"/>
    <mergeCell ref="R972:R981"/>
    <mergeCell ref="T972:T981"/>
    <mergeCell ref="AH972:AH981"/>
    <mergeCell ref="AK992:AK1001"/>
    <mergeCell ref="AL992:AL1001"/>
    <mergeCell ref="AM992:AM1001"/>
    <mergeCell ref="AO992:AO1001"/>
    <mergeCell ref="AP992:AP1001"/>
    <mergeCell ref="D1002:D1011"/>
    <mergeCell ref="E1002:E1011"/>
    <mergeCell ref="F1002:F1011"/>
    <mergeCell ref="G1002:G1011"/>
    <mergeCell ref="H1002:H1011"/>
    <mergeCell ref="I1002:I1011"/>
    <mergeCell ref="J1002:J1011"/>
    <mergeCell ref="K1002:K1011"/>
    <mergeCell ref="L1002:L1011"/>
    <mergeCell ref="M1002:M1011"/>
    <mergeCell ref="N1002:N1011"/>
    <mergeCell ref="O1002:O1011"/>
    <mergeCell ref="P1002:P1011"/>
    <mergeCell ref="Q1002:Q1011"/>
    <mergeCell ref="R1002:R1011"/>
    <mergeCell ref="T1002:T1011"/>
    <mergeCell ref="AH1002:AH1011"/>
    <mergeCell ref="AK1002:AK1011"/>
    <mergeCell ref="AL1002:AL1011"/>
    <mergeCell ref="AM1002:AM1011"/>
    <mergeCell ref="AN1002:AN1011"/>
    <mergeCell ref="AO1002:AO1011"/>
    <mergeCell ref="AP1002:AP1011"/>
    <mergeCell ref="D992:D1001"/>
    <mergeCell ref="E992:E1001"/>
    <mergeCell ref="F992:F1001"/>
    <mergeCell ref="G992:G1001"/>
    <mergeCell ref="H992:H1001"/>
    <mergeCell ref="I992:I1001"/>
    <mergeCell ref="J992:J1001"/>
    <mergeCell ref="E1012:E1021"/>
    <mergeCell ref="F1012:F1021"/>
    <mergeCell ref="G1012:G1021"/>
    <mergeCell ref="H1012:H1021"/>
    <mergeCell ref="I1012:I1021"/>
    <mergeCell ref="J1012:J1021"/>
    <mergeCell ref="K1012:K1021"/>
    <mergeCell ref="L1012:L1021"/>
    <mergeCell ref="M1012:M1021"/>
    <mergeCell ref="N1012:N1021"/>
    <mergeCell ref="O1012:O1021"/>
    <mergeCell ref="P1012:P1021"/>
    <mergeCell ref="Q1012:Q1021"/>
    <mergeCell ref="R1012:R1021"/>
    <mergeCell ref="T1012:T1021"/>
    <mergeCell ref="AH1012:AH1021"/>
    <mergeCell ref="AN992:AN1001"/>
    <mergeCell ref="K992:K1001"/>
    <mergeCell ref="L992:L1001"/>
    <mergeCell ref="M992:M1001"/>
    <mergeCell ref="N992:N1001"/>
    <mergeCell ref="O992:O1001"/>
    <mergeCell ref="P992:P1001"/>
    <mergeCell ref="Q992:Q1001"/>
    <mergeCell ref="R992:R1001"/>
    <mergeCell ref="T992:T1001"/>
    <mergeCell ref="AH992:AH1001"/>
    <mergeCell ref="B322:B581"/>
    <mergeCell ref="B582:B971"/>
    <mergeCell ref="B972:B1021"/>
    <mergeCell ref="B1:E4"/>
    <mergeCell ref="B5:D5"/>
    <mergeCell ref="F2:AQ4"/>
    <mergeCell ref="F1:AQ1"/>
    <mergeCell ref="AR1:AR4"/>
    <mergeCell ref="C322:C361"/>
    <mergeCell ref="C362:C394"/>
    <mergeCell ref="C402:C414"/>
    <mergeCell ref="C422:C434"/>
    <mergeCell ref="C442:C495"/>
    <mergeCell ref="C502:C524"/>
    <mergeCell ref="C532:C561"/>
    <mergeCell ref="C562:C581"/>
    <mergeCell ref="C582:C612"/>
    <mergeCell ref="C622:C653"/>
    <mergeCell ref="C662:C725"/>
    <mergeCell ref="C732:C803"/>
    <mergeCell ref="C812:C881"/>
    <mergeCell ref="C882:C941"/>
    <mergeCell ref="C942:C971"/>
    <mergeCell ref="C972:C1001"/>
    <mergeCell ref="C1002:C1021"/>
    <mergeCell ref="AK1012:AK1021"/>
    <mergeCell ref="AL1012:AL1021"/>
    <mergeCell ref="AM1012:AM1021"/>
    <mergeCell ref="AN1012:AN1021"/>
    <mergeCell ref="AO1012:AO1021"/>
    <mergeCell ref="AP1012:AP1021"/>
    <mergeCell ref="D1012:D1021"/>
  </mergeCells>
  <conditionalFormatting sqref="N12:O12 N22:O22">
    <cfRule type="cellIs" dxfId="8116" priority="10204" operator="equal">
      <formula>"Media"</formula>
    </cfRule>
    <cfRule type="cellIs" dxfId="8115" priority="10205" operator="equal">
      <formula>"Baja"</formula>
    </cfRule>
    <cfRule type="cellIs" dxfId="8114" priority="10206" operator="equal">
      <formula>"Muy Baja"</formula>
    </cfRule>
    <cfRule type="cellIs" dxfId="8113" priority="10202" operator="equal">
      <formula>"Muy Alta"</formula>
    </cfRule>
    <cfRule type="cellIs" dxfId="8112" priority="10203" operator="equal">
      <formula>"Alta"</formula>
    </cfRule>
  </conditionalFormatting>
  <conditionalFormatting sqref="N32:O32 N42:O42 N52:O52 N62:O62">
    <cfRule type="cellIs" dxfId="8111" priority="9986" operator="equal">
      <formula>"Muy Baja"</formula>
    </cfRule>
    <cfRule type="cellIs" dxfId="8110" priority="9982" operator="equal">
      <formula>"Muy Alta"</formula>
    </cfRule>
    <cfRule type="cellIs" dxfId="8109" priority="9983" operator="equal">
      <formula>"Alta"</formula>
    </cfRule>
    <cfRule type="cellIs" dxfId="8108" priority="9984" operator="equal">
      <formula>"Media"</formula>
    </cfRule>
    <cfRule type="cellIs" dxfId="8107" priority="9985" operator="equal">
      <formula>"Baja"</formula>
    </cfRule>
  </conditionalFormatting>
  <conditionalFormatting sqref="N72:O72 N82:O82 N92:O92 N102:O102 N112:O112">
    <cfRule type="cellIs" dxfId="8106" priority="9588" operator="equal">
      <formula>"Muy Baja"</formula>
    </cfRule>
    <cfRule type="cellIs" dxfId="8105" priority="9587" operator="equal">
      <formula>"Baja"</formula>
    </cfRule>
    <cfRule type="cellIs" dxfId="8104" priority="9586" operator="equal">
      <formula>"Media"</formula>
    </cfRule>
    <cfRule type="cellIs" dxfId="8103" priority="9585" operator="equal">
      <formula>"Alta"</formula>
    </cfRule>
    <cfRule type="cellIs" dxfId="8102" priority="9584" operator="equal">
      <formula>"Muy Alta"</formula>
    </cfRule>
  </conditionalFormatting>
  <conditionalFormatting sqref="N122:O122 N132:O132 N142:O142">
    <cfRule type="cellIs" dxfId="8101" priority="9092" operator="equal">
      <formula>"Muy Alta"</formula>
    </cfRule>
    <cfRule type="cellIs" dxfId="8100" priority="9096" operator="equal">
      <formula>"Muy Baja"</formula>
    </cfRule>
    <cfRule type="cellIs" dxfId="8099" priority="9095" operator="equal">
      <formula>"Baja"</formula>
    </cfRule>
    <cfRule type="cellIs" dxfId="8098" priority="9094" operator="equal">
      <formula>"Media"</formula>
    </cfRule>
    <cfRule type="cellIs" dxfId="8097" priority="9093" operator="equal">
      <formula>"Alta"</formula>
    </cfRule>
  </conditionalFormatting>
  <conditionalFormatting sqref="N152:O152 N162:O162 N172:O172">
    <cfRule type="cellIs" dxfId="8096" priority="8784" operator="equal">
      <formula>"Muy Alta"</formula>
    </cfRule>
    <cfRule type="cellIs" dxfId="8095" priority="8788" operator="equal">
      <formula>"Muy Baja"</formula>
    </cfRule>
    <cfRule type="cellIs" dxfId="8094" priority="8785" operator="equal">
      <formula>"Alta"</formula>
    </cfRule>
    <cfRule type="cellIs" dxfId="8093" priority="8787" operator="equal">
      <formula>"Baja"</formula>
    </cfRule>
    <cfRule type="cellIs" dxfId="8092" priority="8786" operator="equal">
      <formula>"Media"</formula>
    </cfRule>
  </conditionalFormatting>
  <conditionalFormatting sqref="N182:O182 N192:O192 N202:O202">
    <cfRule type="cellIs" dxfId="8091" priority="8476" operator="equal">
      <formula>"Muy Alta"</formula>
    </cfRule>
    <cfRule type="cellIs" dxfId="8090" priority="8478" operator="equal">
      <formula>"Media"</formula>
    </cfRule>
    <cfRule type="cellIs" dxfId="8089" priority="8477" operator="equal">
      <formula>"Alta"</formula>
    </cfRule>
    <cfRule type="cellIs" dxfId="8088" priority="8480" operator="equal">
      <formula>"Muy Baja"</formula>
    </cfRule>
    <cfRule type="cellIs" dxfId="8087" priority="8479" operator="equal">
      <formula>"Baja"</formula>
    </cfRule>
  </conditionalFormatting>
  <conditionalFormatting sqref="N212:O212 N222:O222 N232:O232 N242:O242 N252:O252 N262:O262 N272:O272 N282:O282 N292:O292 N302:O302">
    <cfRule type="cellIs" dxfId="8086" priority="8170" operator="equal">
      <formula>"Media"</formula>
    </cfRule>
    <cfRule type="cellIs" dxfId="8085" priority="8172" operator="equal">
      <formula>"Muy Baja"</formula>
    </cfRule>
    <cfRule type="cellIs" dxfId="8084" priority="8171" operator="equal">
      <formula>"Baja"</formula>
    </cfRule>
    <cfRule type="cellIs" dxfId="8083" priority="8169" operator="equal">
      <formula>"Alta"</formula>
    </cfRule>
    <cfRule type="cellIs" dxfId="8082" priority="8168" operator="equal">
      <formula>"Muy Alta"</formula>
    </cfRule>
  </conditionalFormatting>
  <conditionalFormatting sqref="N312:O312">
    <cfRule type="cellIs" dxfId="8081" priority="7210" operator="equal">
      <formula>"Muy Baja"</formula>
    </cfRule>
    <cfRule type="cellIs" dxfId="8080" priority="7207" operator="equal">
      <formula>"Alta"</formula>
    </cfRule>
    <cfRule type="cellIs" dxfId="8079" priority="7206" operator="equal">
      <formula>"Muy Alta"</formula>
    </cfRule>
    <cfRule type="cellIs" dxfId="8078" priority="7209" operator="equal">
      <formula>"Baja"</formula>
    </cfRule>
    <cfRule type="cellIs" dxfId="8077" priority="7208" operator="equal">
      <formula>"Media"</formula>
    </cfRule>
  </conditionalFormatting>
  <conditionalFormatting sqref="N322:O322 N332:O332 N342:O342 N352:O352">
    <cfRule type="cellIs" dxfId="8076" priority="7097" operator="equal">
      <formula>"Baja"</formula>
    </cfRule>
    <cfRule type="cellIs" dxfId="8075" priority="7094" operator="equal">
      <formula>"Muy Alta"</formula>
    </cfRule>
    <cfRule type="cellIs" dxfId="8074" priority="7098" operator="equal">
      <formula>"Muy Baja"</formula>
    </cfRule>
    <cfRule type="cellIs" dxfId="8073" priority="7095" operator="equal">
      <formula>"Alta"</formula>
    </cfRule>
    <cfRule type="cellIs" dxfId="8072" priority="7096" operator="equal">
      <formula>"Media"</formula>
    </cfRule>
  </conditionalFormatting>
  <conditionalFormatting sqref="N362:O362 N372:O372 N382:O382 N392:O392">
    <cfRule type="cellIs" dxfId="8071" priority="6697" operator="equal">
      <formula>"Alta"</formula>
    </cfRule>
    <cfRule type="cellIs" dxfId="8070" priority="6700" operator="equal">
      <formula>"Muy Baja"</formula>
    </cfRule>
    <cfRule type="cellIs" dxfId="8069" priority="6699" operator="equal">
      <formula>"Baja"</formula>
    </cfRule>
    <cfRule type="cellIs" dxfId="8068" priority="6698" operator="equal">
      <formula>"Media"</formula>
    </cfRule>
    <cfRule type="cellIs" dxfId="8067" priority="6696" operator="equal">
      <formula>"Muy Alta"</formula>
    </cfRule>
  </conditionalFormatting>
  <conditionalFormatting sqref="N402:O402 N412:O412">
    <cfRule type="cellIs" dxfId="8066" priority="6299" operator="equal">
      <formula>"Alta"</formula>
    </cfRule>
    <cfRule type="cellIs" dxfId="8065" priority="6298" operator="equal">
      <formula>"Muy Alta"</formula>
    </cfRule>
    <cfRule type="cellIs" dxfId="8064" priority="6300" operator="equal">
      <formula>"Media"</formula>
    </cfRule>
    <cfRule type="cellIs" dxfId="8063" priority="6301" operator="equal">
      <formula>"Baja"</formula>
    </cfRule>
    <cfRule type="cellIs" dxfId="8062" priority="6302" operator="equal">
      <formula>"Muy Baja"</formula>
    </cfRule>
  </conditionalFormatting>
  <conditionalFormatting sqref="N422:O422 N432:O432">
    <cfRule type="cellIs" dxfId="8061" priority="6083" operator="equal">
      <formula>"Baja"</formula>
    </cfRule>
    <cfRule type="cellIs" dxfId="8060" priority="6082" operator="equal">
      <formula>"Media"</formula>
    </cfRule>
    <cfRule type="cellIs" dxfId="8059" priority="6081" operator="equal">
      <formula>"Alta"</formula>
    </cfRule>
    <cfRule type="cellIs" dxfId="8058" priority="6084" operator="equal">
      <formula>"Muy Baja"</formula>
    </cfRule>
    <cfRule type="cellIs" dxfId="8057" priority="6080" operator="equal">
      <formula>"Muy Alta"</formula>
    </cfRule>
  </conditionalFormatting>
  <conditionalFormatting sqref="N442:O442 N452:O452 N462:O462 N472:O472 N482:O482 N492:O492">
    <cfRule type="cellIs" dxfId="8056" priority="5866" operator="equal">
      <formula>"Muy Baja"</formula>
    </cfRule>
    <cfRule type="cellIs" dxfId="8055" priority="5865" operator="equal">
      <formula>"Baja"</formula>
    </cfRule>
    <cfRule type="cellIs" dxfId="8054" priority="5864" operator="equal">
      <formula>"Media"</formula>
    </cfRule>
    <cfRule type="cellIs" dxfId="8053" priority="5863" operator="equal">
      <formula>"Alta"</formula>
    </cfRule>
    <cfRule type="cellIs" dxfId="8052" priority="5862" operator="equal">
      <formula>"Muy Alta"</formula>
    </cfRule>
  </conditionalFormatting>
  <conditionalFormatting sqref="N502:O502 N512:O512 N522:O522">
    <cfRule type="cellIs" dxfId="8051" priority="5338" operator="equal">
      <formula>"Muy Alta"</formula>
    </cfRule>
    <cfRule type="cellIs" dxfId="8050" priority="5339" operator="equal">
      <formula>"Alta"</formula>
    </cfRule>
    <cfRule type="cellIs" dxfId="8049" priority="5341" operator="equal">
      <formula>"Baja"</formula>
    </cfRule>
    <cfRule type="cellIs" dxfId="8048" priority="5342" operator="equal">
      <formula>"Muy Baja"</formula>
    </cfRule>
    <cfRule type="cellIs" dxfId="8047" priority="5340" operator="equal">
      <formula>"Media"</formula>
    </cfRule>
  </conditionalFormatting>
  <conditionalFormatting sqref="N532:O532 N542:O542">
    <cfRule type="cellIs" dxfId="8046" priority="5050" operator="equal">
      <formula>"Muy Baja"</formula>
    </cfRule>
    <cfRule type="cellIs" dxfId="8045" priority="5047" operator="equal">
      <formula>"Alta"</formula>
    </cfRule>
    <cfRule type="cellIs" dxfId="8044" priority="5046" operator="equal">
      <formula>"Muy Alta"</formula>
    </cfRule>
    <cfRule type="cellIs" dxfId="8043" priority="5048" operator="equal">
      <formula>"Media"</formula>
    </cfRule>
    <cfRule type="cellIs" dxfId="8042" priority="5049" operator="equal">
      <formula>"Baja"</formula>
    </cfRule>
  </conditionalFormatting>
  <conditionalFormatting sqref="N552:O552">
    <cfRule type="cellIs" dxfId="8041" priority="4829" operator="equal">
      <formula>"Alta"</formula>
    </cfRule>
    <cfRule type="cellIs" dxfId="8040" priority="4830" operator="equal">
      <formula>"Media"</formula>
    </cfRule>
    <cfRule type="cellIs" dxfId="8039" priority="4831" operator="equal">
      <formula>"Baja"</formula>
    </cfRule>
    <cfRule type="cellIs" dxfId="8038" priority="4832" operator="equal">
      <formula>"Muy Baja"</formula>
    </cfRule>
    <cfRule type="cellIs" dxfId="8037" priority="4828" operator="equal">
      <formula>"Muy Alta"</formula>
    </cfRule>
  </conditionalFormatting>
  <conditionalFormatting sqref="N562:O562 N572:O572">
    <cfRule type="cellIs" dxfId="8036" priority="4719" operator="equal">
      <formula>"Baja"</formula>
    </cfRule>
    <cfRule type="cellIs" dxfId="8035" priority="4718" operator="equal">
      <formula>"Media"</formula>
    </cfRule>
    <cfRule type="cellIs" dxfId="8034" priority="4720" operator="equal">
      <formula>"Muy Baja"</formula>
    </cfRule>
    <cfRule type="cellIs" dxfId="8033" priority="4717" operator="equal">
      <formula>"Alta"</formula>
    </cfRule>
    <cfRule type="cellIs" dxfId="8032" priority="4716" operator="equal">
      <formula>"Muy Alta"</formula>
    </cfRule>
  </conditionalFormatting>
  <conditionalFormatting sqref="N582:O582 N592:O592 N602:O602">
    <cfRule type="cellIs" dxfId="8031" priority="4518" operator="equal">
      <formula>"Muy Baja"</formula>
    </cfRule>
    <cfRule type="cellIs" dxfId="8030" priority="4517" operator="equal">
      <formula>"Baja"</formula>
    </cfRule>
    <cfRule type="cellIs" dxfId="8029" priority="4516" operator="equal">
      <formula>"Media"</formula>
    </cfRule>
    <cfRule type="cellIs" dxfId="8028" priority="4515" operator="equal">
      <formula>"Alta"</formula>
    </cfRule>
    <cfRule type="cellIs" dxfId="8027" priority="4514" operator="equal">
      <formula>"Muy Alta"</formula>
    </cfRule>
  </conditionalFormatting>
  <conditionalFormatting sqref="N612:O612">
    <cfRule type="cellIs" dxfId="8026" priority="4128" operator="equal">
      <formula>"Muy Alta"</formula>
    </cfRule>
    <cfRule type="cellIs" dxfId="8025" priority="4130" operator="equal">
      <formula>"Media"</formula>
    </cfRule>
    <cfRule type="cellIs" dxfId="8024" priority="4131" operator="equal">
      <formula>"Baja"</formula>
    </cfRule>
    <cfRule type="cellIs" dxfId="8023" priority="4132" operator="equal">
      <formula>"Muy Baja"</formula>
    </cfRule>
    <cfRule type="cellIs" dxfId="8022" priority="4129" operator="equal">
      <formula>"Alta"</formula>
    </cfRule>
  </conditionalFormatting>
  <conditionalFormatting sqref="N622:O622 N632:O632 N642:O642">
    <cfRule type="cellIs" dxfId="8021" priority="4016" operator="equal">
      <formula>"Muy Alta"</formula>
    </cfRule>
    <cfRule type="cellIs" dxfId="8020" priority="4017" operator="equal">
      <formula>"Alta"</formula>
    </cfRule>
    <cfRule type="cellIs" dxfId="8019" priority="4018" operator="equal">
      <formula>"Media"</formula>
    </cfRule>
    <cfRule type="cellIs" dxfId="8018" priority="4019" operator="equal">
      <formula>"Baja"</formula>
    </cfRule>
    <cfRule type="cellIs" dxfId="8017" priority="4020" operator="equal">
      <formula>"Muy Baja"</formula>
    </cfRule>
  </conditionalFormatting>
  <conditionalFormatting sqref="N652:O652">
    <cfRule type="cellIs" dxfId="8016" priority="3708" operator="equal">
      <formula>"Muy Alta"</formula>
    </cfRule>
    <cfRule type="cellIs" dxfId="8015" priority="3709" operator="equal">
      <formula>"Alta"</formula>
    </cfRule>
    <cfRule type="cellIs" dxfId="8014" priority="3710" operator="equal">
      <formula>"Media"</formula>
    </cfRule>
    <cfRule type="cellIs" dxfId="8013" priority="3711" operator="equal">
      <formula>"Baja"</formula>
    </cfRule>
    <cfRule type="cellIs" dxfId="8012" priority="3712" operator="equal">
      <formula>"Muy Baja"</formula>
    </cfRule>
  </conditionalFormatting>
  <conditionalFormatting sqref="N662:O662 N672:O672 N682:O682 N692:O692 N702:O702 N712:O712">
    <cfRule type="cellIs" dxfId="8011" priority="3600" operator="equal">
      <formula>"Muy Baja"</formula>
    </cfRule>
    <cfRule type="cellIs" dxfId="8010" priority="3599" operator="equal">
      <formula>"Baja"</formula>
    </cfRule>
    <cfRule type="cellIs" dxfId="8009" priority="3598" operator="equal">
      <formula>"Media"</formula>
    </cfRule>
    <cfRule type="cellIs" dxfId="8008" priority="3597" operator="equal">
      <formula>"Alta"</formula>
    </cfRule>
    <cfRule type="cellIs" dxfId="8007" priority="3596" operator="equal">
      <formula>"Muy Alta"</formula>
    </cfRule>
  </conditionalFormatting>
  <conditionalFormatting sqref="N722:O722 N732:O732 N742:O742 N752:O752 N762:O762 N772:O772 N782:O782 N792:O792 N802:O802">
    <cfRule type="cellIs" dxfId="8006" priority="3022" operator="equal">
      <formula>"Muy Alta"</formula>
    </cfRule>
    <cfRule type="cellIs" dxfId="8005" priority="3026" operator="equal">
      <formula>"Muy Baja"</formula>
    </cfRule>
    <cfRule type="cellIs" dxfId="8004" priority="3025" operator="equal">
      <formula>"Baja"</formula>
    </cfRule>
    <cfRule type="cellIs" dxfId="8003" priority="3024" operator="equal">
      <formula>"Media"</formula>
    </cfRule>
    <cfRule type="cellIs" dxfId="8002" priority="3023" operator="equal">
      <formula>"Alta"</formula>
    </cfRule>
  </conditionalFormatting>
  <conditionalFormatting sqref="N812:O812 N822:O822 N832:O832 N842:O842 N852:O852 N862:O862 N872:O872">
    <cfRule type="cellIs" dxfId="8001" priority="2167" operator="equal">
      <formula>"Alta"</formula>
    </cfRule>
    <cfRule type="cellIs" dxfId="8000" priority="2168" operator="equal">
      <formula>"Media"</formula>
    </cfRule>
    <cfRule type="cellIs" dxfId="7999" priority="2166" operator="equal">
      <formula>"Muy Alta"</formula>
    </cfRule>
    <cfRule type="cellIs" dxfId="7998" priority="2169" operator="equal">
      <formula>"Baja"</formula>
    </cfRule>
    <cfRule type="cellIs" dxfId="7997" priority="2170" operator="equal">
      <formula>"Muy Baja"</formula>
    </cfRule>
  </conditionalFormatting>
  <conditionalFormatting sqref="N882:O882 N892:O892 N902:O902 N912:O912 N922:O922 N932:O932">
    <cfRule type="cellIs" dxfId="7996" priority="1493" operator="equal">
      <formula>"Baja"</formula>
    </cfRule>
    <cfRule type="cellIs" dxfId="7995" priority="1492" operator="equal">
      <formula>"Media"</formula>
    </cfRule>
    <cfRule type="cellIs" dxfId="7994" priority="1490" operator="equal">
      <formula>"Muy Alta"</formula>
    </cfRule>
    <cfRule type="cellIs" dxfId="7993" priority="1491" operator="equal">
      <formula>"Alta"</formula>
    </cfRule>
    <cfRule type="cellIs" dxfId="7992" priority="1494" operator="equal">
      <formula>"Muy Baja"</formula>
    </cfRule>
  </conditionalFormatting>
  <conditionalFormatting sqref="N942:O942 N952:O952">
    <cfRule type="cellIs" dxfId="7991" priority="917" operator="equal">
      <formula>"Alta"</formula>
    </cfRule>
    <cfRule type="cellIs" dxfId="7990" priority="916" operator="equal">
      <formula>"Muy Alta"</formula>
    </cfRule>
    <cfRule type="cellIs" dxfId="7989" priority="918" operator="equal">
      <formula>"Media"</formula>
    </cfRule>
    <cfRule type="cellIs" dxfId="7988" priority="919" operator="equal">
      <formula>"Baja"</formula>
    </cfRule>
    <cfRule type="cellIs" dxfId="7987" priority="920" operator="equal">
      <formula>"Muy Baja"</formula>
    </cfRule>
  </conditionalFormatting>
  <conditionalFormatting sqref="N962:O962">
    <cfRule type="cellIs" dxfId="7986" priority="699" operator="equal">
      <formula>"Alta"</formula>
    </cfRule>
    <cfRule type="cellIs" dxfId="7985" priority="701" operator="equal">
      <formula>"Baja"</formula>
    </cfRule>
    <cfRule type="cellIs" dxfId="7984" priority="700" operator="equal">
      <formula>"Media"</formula>
    </cfRule>
    <cfRule type="cellIs" dxfId="7983" priority="702" operator="equal">
      <formula>"Muy Baja"</formula>
    </cfRule>
    <cfRule type="cellIs" dxfId="7982" priority="698" operator="equal">
      <formula>"Muy Alta"</formula>
    </cfRule>
  </conditionalFormatting>
  <conditionalFormatting sqref="N972:O972 N982:O982 N992:O992">
    <cfRule type="cellIs" dxfId="7981" priority="590" operator="equal">
      <formula>"Muy Baja"</formula>
    </cfRule>
    <cfRule type="cellIs" dxfId="7980" priority="587" operator="equal">
      <formula>"Alta"</formula>
    </cfRule>
    <cfRule type="cellIs" dxfId="7979" priority="586" operator="equal">
      <formula>"Muy Alta"</formula>
    </cfRule>
    <cfRule type="cellIs" dxfId="7978" priority="589" operator="equal">
      <formula>"Baja"</formula>
    </cfRule>
    <cfRule type="cellIs" dxfId="7977" priority="588" operator="equal">
      <formula>"Media"</formula>
    </cfRule>
  </conditionalFormatting>
  <conditionalFormatting sqref="N1002:O1002 N1012:O1012">
    <cfRule type="cellIs" dxfId="7976" priority="290" operator="equal">
      <formula>"Muy Alta"</formula>
    </cfRule>
    <cfRule type="cellIs" dxfId="7975" priority="294" operator="equal">
      <formula>"Muy Baja"</formula>
    </cfRule>
    <cfRule type="cellIs" dxfId="7974" priority="291" operator="equal">
      <formula>"Alta"</formula>
    </cfRule>
    <cfRule type="cellIs" dxfId="7973" priority="292" operator="equal">
      <formula>"Media"</formula>
    </cfRule>
    <cfRule type="cellIs" dxfId="7972" priority="293" operator="equal">
      <formula>"Baja"</formula>
    </cfRule>
  </conditionalFormatting>
  <conditionalFormatting sqref="Q12">
    <cfRule type="cellIs" dxfId="7970" priority="10187" operator="equal">
      <formula>"Muy Baja"</formula>
    </cfRule>
    <cfRule type="cellIs" dxfId="7969" priority="10186" operator="equal">
      <formula>"Baja"</formula>
    </cfRule>
    <cfRule type="cellIs" dxfId="7968" priority="10185" operator="equal">
      <formula>"Media"</formula>
    </cfRule>
    <cfRule type="cellIs" dxfId="7967" priority="10184" operator="equal">
      <formula>"Alta"</formula>
    </cfRule>
    <cfRule type="cellIs" dxfId="7966" priority="10183" operator="equal">
      <formula>"Muy Alta"</formula>
    </cfRule>
    <cfRule type="containsText" dxfId="7963" priority="10166" operator="containsText" text="Menor">
      <formula>NOT(ISERROR(SEARCH("Menor",Q12)))</formula>
    </cfRule>
    <cfRule type="containsText" dxfId="7953" priority="10169" operator="containsText" text="Catastrófico">
      <formula>NOT(ISERROR(SEARCH("Catastrófico",Q12)))</formula>
    </cfRule>
    <cfRule type="containsText" dxfId="7952" priority="10168" operator="containsText" text="Mayor">
      <formula>NOT(ISERROR(SEARCH("Mayor",Q12)))</formula>
    </cfRule>
    <cfRule type="containsText" dxfId="7951" priority="10167" operator="containsText" text="Moderado">
      <formula>NOT(ISERROR(SEARCH("Moderado",Q12)))</formula>
    </cfRule>
    <cfRule type="containsText" dxfId="7950" priority="10165" operator="containsText" text="Leve">
      <formula>NOT(ISERROR(SEARCH("Leve",Q12)))</formula>
    </cfRule>
  </conditionalFormatting>
  <conditionalFormatting sqref="Q22">
    <cfRule type="cellIs" dxfId="7949" priority="10104" operator="equal">
      <formula>"Muy Baja"</formula>
    </cfRule>
    <cfRule type="containsText" dxfId="7943" priority="10086" operator="containsText" text="Catastrófico">
      <formula>NOT(ISERROR(SEARCH("Catastrófico",Q22)))</formula>
    </cfRule>
    <cfRule type="containsText" dxfId="7942" priority="10085" operator="containsText" text="Mayor">
      <formula>NOT(ISERROR(SEARCH("Mayor",Q22)))</formula>
    </cfRule>
    <cfRule type="containsText" dxfId="7941" priority="10084" operator="containsText" text="Moderado">
      <formula>NOT(ISERROR(SEARCH("Moderado",Q22)))</formula>
    </cfRule>
    <cfRule type="containsText" dxfId="7940" priority="10083" operator="containsText" text="Menor">
      <formula>NOT(ISERROR(SEARCH("Menor",Q22)))</formula>
    </cfRule>
    <cfRule type="cellIs" dxfId="7938" priority="10103" operator="equal">
      <formula>"Baja"</formula>
    </cfRule>
    <cfRule type="cellIs" dxfId="7937" priority="10102" operator="equal">
      <formula>"Media"</formula>
    </cfRule>
    <cfRule type="cellIs" dxfId="7936" priority="10101" operator="equal">
      <formula>"Alta"</formula>
    </cfRule>
    <cfRule type="cellIs" dxfId="7935" priority="10100" operator="equal">
      <formula>"Muy Alta"</formula>
    </cfRule>
    <cfRule type="containsText" dxfId="7928" priority="10082" operator="containsText" text="Leve">
      <formula>NOT(ISERROR(SEARCH("Leve",Q22)))</formula>
    </cfRule>
  </conditionalFormatting>
  <conditionalFormatting sqref="Q32">
    <cfRule type="containsText" dxfId="7927" priority="9946" operator="containsText" text="Menor">
      <formula>NOT(ISERROR(SEARCH("Menor",Q32)))</formula>
    </cfRule>
    <cfRule type="cellIs" dxfId="7926" priority="9966" operator="equal">
      <formula>"Baja"</formula>
    </cfRule>
    <cfRule type="cellIs" dxfId="7925" priority="9967" operator="equal">
      <formula>"Muy Baja"</formula>
    </cfRule>
    <cfRule type="containsText" dxfId="7919" priority="9949" operator="containsText" text="Catastrófico">
      <formula>NOT(ISERROR(SEARCH("Catastrófico",Q32)))</formula>
    </cfRule>
    <cfRule type="containsText" dxfId="7918" priority="9948" operator="containsText" text="Mayor">
      <formula>NOT(ISERROR(SEARCH("Mayor",Q32)))</formula>
    </cfRule>
    <cfRule type="containsText" dxfId="7917" priority="9947" operator="containsText" text="Moderado">
      <formula>NOT(ISERROR(SEARCH("Moderado",Q32)))</formula>
    </cfRule>
    <cfRule type="containsText" dxfId="7916" priority="9945" operator="containsText" text="Leve">
      <formula>NOT(ISERROR(SEARCH("Leve",Q32)))</formula>
    </cfRule>
    <cfRule type="cellIs" dxfId="7915" priority="9965" operator="equal">
      <formula>"Media"</formula>
    </cfRule>
    <cfRule type="cellIs" dxfId="7907" priority="9963" operator="equal">
      <formula>"Muy Alta"</formula>
    </cfRule>
    <cfRule type="cellIs" dxfId="7906" priority="9964" operator="equal">
      <formula>"Alta"</formula>
    </cfRule>
  </conditionalFormatting>
  <conditionalFormatting sqref="Q42">
    <cfRule type="cellIs" dxfId="7900" priority="9848" operator="equal">
      <formula>"Muy Alta"</formula>
    </cfRule>
    <cfRule type="containsText" dxfId="7893" priority="9834" operator="containsText" text="Catastrófico">
      <formula>NOT(ISERROR(SEARCH("Catastrófico",Q42)))</formula>
    </cfRule>
    <cfRule type="containsText" dxfId="7892" priority="9833" operator="containsText" text="Mayor">
      <formula>NOT(ISERROR(SEARCH("Mayor",Q42)))</formula>
    </cfRule>
    <cfRule type="containsText" dxfId="7891" priority="9831" operator="containsText" text="Menor">
      <formula>NOT(ISERROR(SEARCH("Menor",Q42)))</formula>
    </cfRule>
    <cfRule type="containsText" dxfId="7890" priority="9830" operator="containsText" text="Leve">
      <formula>NOT(ISERROR(SEARCH("Leve",Q42)))</formula>
    </cfRule>
    <cfRule type="cellIs" dxfId="7888" priority="9852" operator="equal">
      <formula>"Muy Baja"</formula>
    </cfRule>
    <cfRule type="containsText" dxfId="7887" priority="9832" operator="containsText" text="Moderado">
      <formula>NOT(ISERROR(SEARCH("Moderado",Q42)))</formula>
    </cfRule>
    <cfRule type="cellIs" dxfId="7886" priority="9851" operator="equal">
      <formula>"Baja"</formula>
    </cfRule>
    <cfRule type="cellIs" dxfId="7885" priority="9850" operator="equal">
      <formula>"Media"</formula>
    </cfRule>
    <cfRule type="cellIs" dxfId="7884" priority="9849" operator="equal">
      <formula>"Alta"</formula>
    </cfRule>
  </conditionalFormatting>
  <conditionalFormatting sqref="Q52">
    <cfRule type="cellIs" dxfId="7882" priority="9804" operator="equal">
      <formula>"Muy Baja"</formula>
    </cfRule>
    <cfRule type="cellIs" dxfId="7881" priority="9803" operator="equal">
      <formula>"Baja"</formula>
    </cfRule>
    <cfRule type="containsText" dxfId="7880" priority="9782" operator="containsText" text="Leve">
      <formula>NOT(ISERROR(SEARCH("Leve",Q52)))</formula>
    </cfRule>
    <cfRule type="containsText" dxfId="7879" priority="9783" operator="containsText" text="Menor">
      <formula>NOT(ISERROR(SEARCH("Menor",Q52)))</formula>
    </cfRule>
    <cfRule type="cellIs" dxfId="7878" priority="9802" operator="equal">
      <formula>"Media"</formula>
    </cfRule>
    <cfRule type="cellIs" dxfId="7877" priority="9801" operator="equal">
      <formula>"Alta"</formula>
    </cfRule>
    <cfRule type="cellIs" dxfId="7876" priority="9800" operator="equal">
      <formula>"Muy Alta"</formula>
    </cfRule>
    <cfRule type="containsText" dxfId="7871" priority="9784" operator="containsText" text="Moderado">
      <formula>NOT(ISERROR(SEARCH("Moderado",Q52)))</formula>
    </cfRule>
    <cfRule type="containsText" dxfId="7870" priority="9785" operator="containsText" text="Mayor">
      <formula>NOT(ISERROR(SEARCH("Mayor",Q52)))</formula>
    </cfRule>
    <cfRule type="containsText" dxfId="7869" priority="9786" operator="containsText" text="Catastrófico">
      <formula>NOT(ISERROR(SEARCH("Catastrófico",Q52)))</formula>
    </cfRule>
  </conditionalFormatting>
  <conditionalFormatting sqref="Q62">
    <cfRule type="cellIs" dxfId="7852" priority="9752" operator="equal">
      <formula>"Muy Alta"</formula>
    </cfRule>
    <cfRule type="cellIs" dxfId="7851" priority="9753" operator="equal">
      <formula>"Alta"</formula>
    </cfRule>
    <cfRule type="cellIs" dxfId="7850" priority="9754" operator="equal">
      <formula>"Media"</formula>
    </cfRule>
    <cfRule type="cellIs" dxfId="7849" priority="9755" operator="equal">
      <formula>"Baja"</formula>
    </cfRule>
    <cfRule type="cellIs" dxfId="7848" priority="9756" operator="equal">
      <formula>"Muy Baja"</formula>
    </cfRule>
    <cfRule type="containsText" dxfId="7847" priority="9734" operator="containsText" text="Leve">
      <formula>NOT(ISERROR(SEARCH("Leve",Q62)))</formula>
    </cfRule>
    <cfRule type="containsText" dxfId="7846" priority="9735" operator="containsText" text="Menor">
      <formula>NOT(ISERROR(SEARCH("Menor",Q62)))</formula>
    </cfRule>
    <cfRule type="containsText" dxfId="7845" priority="9736" operator="containsText" text="Moderado">
      <formula>NOT(ISERROR(SEARCH("Moderado",Q62)))</formula>
    </cfRule>
    <cfRule type="containsText" dxfId="7844" priority="9737" operator="containsText" text="Mayor">
      <formula>NOT(ISERROR(SEARCH("Mayor",Q62)))</formula>
    </cfRule>
    <cfRule type="containsText" dxfId="7843" priority="9738" operator="containsText" text="Catastrófico">
      <formula>NOT(ISERROR(SEARCH("Catastrófico",Q62)))</formula>
    </cfRule>
  </conditionalFormatting>
  <conditionalFormatting sqref="Q72">
    <cfRule type="cellIs" dxfId="7838" priority="9565" operator="equal">
      <formula>"Muy Alta"</formula>
    </cfRule>
    <cfRule type="cellIs" dxfId="7837" priority="9566" operator="equal">
      <formula>"Alta"</formula>
    </cfRule>
    <cfRule type="cellIs" dxfId="7836" priority="9567" operator="equal">
      <formula>"Media"</formula>
    </cfRule>
    <cfRule type="cellIs" dxfId="7835" priority="9568" operator="equal">
      <formula>"Baja"</formula>
    </cfRule>
    <cfRule type="cellIs" dxfId="7834" priority="9569" operator="equal">
      <formula>"Muy Baja"</formula>
    </cfRule>
    <cfRule type="containsText" dxfId="7824" priority="9551" operator="containsText" text="Catastrófico">
      <formula>NOT(ISERROR(SEARCH("Catastrófico",Q72)))</formula>
    </cfRule>
    <cfRule type="containsText" dxfId="7823" priority="9550" operator="containsText" text="Mayor">
      <formula>NOT(ISERROR(SEARCH("Mayor",Q72)))</formula>
    </cfRule>
    <cfRule type="containsText" dxfId="7822" priority="9549" operator="containsText" text="Moderado">
      <formula>NOT(ISERROR(SEARCH("Moderado",Q72)))</formula>
    </cfRule>
    <cfRule type="containsText" dxfId="7821" priority="9548" operator="containsText" text="Menor">
      <formula>NOT(ISERROR(SEARCH("Menor",Q72)))</formula>
    </cfRule>
    <cfRule type="containsText" dxfId="7820" priority="9547" operator="containsText" text="Leve">
      <formula>NOT(ISERROR(SEARCH("Leve",Q72)))</formula>
    </cfRule>
  </conditionalFormatting>
  <conditionalFormatting sqref="Q82">
    <cfRule type="cellIs" dxfId="7817" priority="9437" operator="equal">
      <formula>"Baja"</formula>
    </cfRule>
    <cfRule type="cellIs" dxfId="7816" priority="9438" operator="equal">
      <formula>"Muy Baja"</formula>
    </cfRule>
    <cfRule type="containsText" dxfId="7806" priority="9420" operator="containsText" text="Catastrófico">
      <formula>NOT(ISERROR(SEARCH("Catastrófico",Q82)))</formula>
    </cfRule>
    <cfRule type="cellIs" dxfId="7805" priority="9436" operator="equal">
      <formula>"Media"</formula>
    </cfRule>
    <cfRule type="containsText" dxfId="7804" priority="9419" operator="containsText" text="Mayor">
      <formula>NOT(ISERROR(SEARCH("Mayor",Q82)))</formula>
    </cfRule>
    <cfRule type="containsText" dxfId="7803" priority="9418" operator="containsText" text="Moderado">
      <formula>NOT(ISERROR(SEARCH("Moderado",Q82)))</formula>
    </cfRule>
    <cfRule type="containsText" dxfId="7802" priority="9417" operator="containsText" text="Menor">
      <formula>NOT(ISERROR(SEARCH("Menor",Q82)))</formula>
    </cfRule>
    <cfRule type="containsText" dxfId="7801" priority="9416" operator="containsText" text="Leve">
      <formula>NOT(ISERROR(SEARCH("Leve",Q82)))</formula>
    </cfRule>
    <cfRule type="cellIs" dxfId="7797" priority="9434" operator="equal">
      <formula>"Muy Alta"</formula>
    </cfRule>
    <cfRule type="cellIs" dxfId="7796" priority="9435" operator="equal">
      <formula>"Alta"</formula>
    </cfRule>
  </conditionalFormatting>
  <conditionalFormatting sqref="Q92">
    <cfRule type="containsText" dxfId="7795" priority="9368" operator="containsText" text="Leve">
      <formula>NOT(ISERROR(SEARCH("Leve",Q92)))</formula>
    </cfRule>
    <cfRule type="containsText" dxfId="7794" priority="9369" operator="containsText" text="Menor">
      <formula>NOT(ISERROR(SEARCH("Menor",Q92)))</formula>
    </cfRule>
    <cfRule type="containsText" dxfId="7793" priority="9370" operator="containsText" text="Moderado">
      <formula>NOT(ISERROR(SEARCH("Moderado",Q92)))</formula>
    </cfRule>
    <cfRule type="containsText" dxfId="7792" priority="9371" operator="containsText" text="Mayor">
      <formula>NOT(ISERROR(SEARCH("Mayor",Q92)))</formula>
    </cfRule>
    <cfRule type="containsText" dxfId="7791" priority="9372" operator="containsText" text="Catastrófico">
      <formula>NOT(ISERROR(SEARCH("Catastrófico",Q92)))</formula>
    </cfRule>
    <cfRule type="cellIs" dxfId="7781" priority="9386" operator="equal">
      <formula>"Muy Alta"</formula>
    </cfRule>
    <cfRule type="cellIs" dxfId="7780" priority="9387" operator="equal">
      <formula>"Alta"</formula>
    </cfRule>
    <cfRule type="cellIs" dxfId="7779" priority="9388" operator="equal">
      <formula>"Media"</formula>
    </cfRule>
    <cfRule type="cellIs" dxfId="7778" priority="9389" operator="equal">
      <formula>"Baja"</formula>
    </cfRule>
    <cfRule type="cellIs" dxfId="7774" priority="9390" operator="equal">
      <formula>"Muy Baja"</formula>
    </cfRule>
  </conditionalFormatting>
  <conditionalFormatting sqref="Q102">
    <cfRule type="containsText" dxfId="7764" priority="9324" operator="containsText" text="Catastrófico">
      <formula>NOT(ISERROR(SEARCH("Catastrófico",Q102)))</formula>
    </cfRule>
    <cfRule type="cellIs" dxfId="7761" priority="9342" operator="equal">
      <formula>"Muy Baja"</formula>
    </cfRule>
    <cfRule type="cellIs" dxfId="7760" priority="9341" operator="equal">
      <formula>"Baja"</formula>
    </cfRule>
    <cfRule type="cellIs" dxfId="7759" priority="9340" operator="equal">
      <formula>"Media"</formula>
    </cfRule>
    <cfRule type="cellIs" dxfId="7758" priority="9339" operator="equal">
      <formula>"Alta"</formula>
    </cfRule>
    <cfRule type="cellIs" dxfId="7757" priority="9338" operator="equal">
      <formula>"Muy Alta"</formula>
    </cfRule>
    <cfRule type="containsText" dxfId="7755" priority="9320" operator="containsText" text="Leve">
      <formula>NOT(ISERROR(SEARCH("Leve",Q102)))</formula>
    </cfRule>
    <cfRule type="containsText" dxfId="7754" priority="9321" operator="containsText" text="Menor">
      <formula>NOT(ISERROR(SEARCH("Menor",Q102)))</formula>
    </cfRule>
    <cfRule type="containsText" dxfId="7753" priority="9322" operator="containsText" text="Moderado">
      <formula>NOT(ISERROR(SEARCH("Moderado",Q102)))</formula>
    </cfRule>
    <cfRule type="containsText" dxfId="7752" priority="9323" operator="containsText" text="Mayor">
      <formula>NOT(ISERROR(SEARCH("Mayor",Q102)))</formula>
    </cfRule>
  </conditionalFormatting>
  <conditionalFormatting sqref="Q112">
    <cfRule type="containsText" dxfId="7749" priority="9272" operator="containsText" text="Leve">
      <formula>NOT(ISERROR(SEARCH("Leve",Q112)))</formula>
    </cfRule>
    <cfRule type="cellIs" dxfId="7748" priority="9291" operator="equal">
      <formula>"Alta"</formula>
    </cfRule>
    <cfRule type="containsText" dxfId="7747" priority="9274" operator="containsText" text="Moderado">
      <formula>NOT(ISERROR(SEARCH("Moderado",Q112)))</formula>
    </cfRule>
    <cfRule type="containsText" dxfId="7746" priority="9275" operator="containsText" text="Mayor">
      <formula>NOT(ISERROR(SEARCH("Mayor",Q112)))</formula>
    </cfRule>
    <cfRule type="containsText" dxfId="7745" priority="9276" operator="containsText" text="Catastrófico">
      <formula>NOT(ISERROR(SEARCH("Catastrófico",Q112)))</formula>
    </cfRule>
    <cfRule type="cellIs" dxfId="7739" priority="9290" operator="equal">
      <formula>"Muy Alta"</formula>
    </cfRule>
    <cfRule type="cellIs" dxfId="7734" priority="9293" operator="equal">
      <formula>"Baja"</formula>
    </cfRule>
    <cfRule type="cellIs" dxfId="7733" priority="9294" operator="equal">
      <formula>"Muy Baja"</formula>
    </cfRule>
    <cfRule type="cellIs" dxfId="7732" priority="9292" operator="equal">
      <formula>"Media"</formula>
    </cfRule>
    <cfRule type="containsText" dxfId="7731" priority="9273" operator="containsText" text="Menor">
      <formula>NOT(ISERROR(SEARCH("Menor",Q112)))</formula>
    </cfRule>
  </conditionalFormatting>
  <conditionalFormatting sqref="Q122">
    <cfRule type="containsText" dxfId="7723" priority="9059" operator="containsText" text="Catastrófico">
      <formula>NOT(ISERROR(SEARCH("Catastrófico",Q122)))</formula>
    </cfRule>
    <cfRule type="containsText" dxfId="7722" priority="9058" operator="containsText" text="Mayor">
      <formula>NOT(ISERROR(SEARCH("Mayor",Q122)))</formula>
    </cfRule>
    <cfRule type="containsText" dxfId="7721" priority="9056" operator="containsText" text="Menor">
      <formula>NOT(ISERROR(SEARCH("Menor",Q122)))</formula>
    </cfRule>
    <cfRule type="containsText" dxfId="7720" priority="9055" operator="containsText" text="Leve">
      <formula>NOT(ISERROR(SEARCH("Leve",Q122)))</formula>
    </cfRule>
    <cfRule type="cellIs" dxfId="7719" priority="9075" operator="equal">
      <formula>"Media"</formula>
    </cfRule>
    <cfRule type="containsText" dxfId="7717" priority="9057" operator="containsText" text="Moderado">
      <formula>NOT(ISERROR(SEARCH("Moderado",Q122)))</formula>
    </cfRule>
    <cfRule type="cellIs" dxfId="7716" priority="9077" operator="equal">
      <formula>"Muy Baja"</formula>
    </cfRule>
    <cfRule type="cellIs" dxfId="7711" priority="9073" operator="equal">
      <formula>"Muy Alta"</formula>
    </cfRule>
    <cfRule type="cellIs" dxfId="7710" priority="9074" operator="equal">
      <formula>"Alta"</formula>
    </cfRule>
    <cfRule type="cellIs" dxfId="7709" priority="9076" operator="equal">
      <formula>"Baja"</formula>
    </cfRule>
  </conditionalFormatting>
  <conditionalFormatting sqref="Q132">
    <cfRule type="cellIs" dxfId="7705" priority="8975" operator="equal">
      <formula>"Alta"</formula>
    </cfRule>
    <cfRule type="cellIs" dxfId="7704" priority="8974" operator="equal">
      <formula>"Muy Alta"</formula>
    </cfRule>
    <cfRule type="containsText" dxfId="7702" priority="8956" operator="containsText" text="Leve">
      <formula>NOT(ISERROR(SEARCH("Leve",Q132)))</formula>
    </cfRule>
    <cfRule type="cellIs" dxfId="7701" priority="8976" operator="equal">
      <formula>"Media"</formula>
    </cfRule>
    <cfRule type="cellIs" dxfId="7693" priority="8978" operator="equal">
      <formula>"Muy Baja"</formula>
    </cfRule>
    <cfRule type="cellIs" dxfId="7692" priority="8977" operator="equal">
      <formula>"Baja"</formula>
    </cfRule>
    <cfRule type="containsText" dxfId="7689" priority="8960" operator="containsText" text="Catastrófico">
      <formula>NOT(ISERROR(SEARCH("Catastrófico",Q132)))</formula>
    </cfRule>
    <cfRule type="containsText" dxfId="7688" priority="8959" operator="containsText" text="Mayor">
      <formula>NOT(ISERROR(SEARCH("Mayor",Q132)))</formula>
    </cfRule>
    <cfRule type="containsText" dxfId="7687" priority="8958" operator="containsText" text="Moderado">
      <formula>NOT(ISERROR(SEARCH("Moderado",Q132)))</formula>
    </cfRule>
    <cfRule type="containsText" dxfId="7686" priority="8957" operator="containsText" text="Menor">
      <formula>NOT(ISERROR(SEARCH("Menor",Q132)))</formula>
    </cfRule>
  </conditionalFormatting>
  <conditionalFormatting sqref="Q142">
    <cfRule type="cellIs" dxfId="7685" priority="8926" operator="equal">
      <formula>"Muy Alta"</formula>
    </cfRule>
    <cfRule type="containsText" dxfId="7672" priority="8912" operator="containsText" text="Catastrófico">
      <formula>NOT(ISERROR(SEARCH("Catastrófico",Q142)))</formula>
    </cfRule>
    <cfRule type="containsText" dxfId="7671" priority="8911" operator="containsText" text="Mayor">
      <formula>NOT(ISERROR(SEARCH("Mayor",Q142)))</formula>
    </cfRule>
    <cfRule type="containsText" dxfId="7670" priority="8910" operator="containsText" text="Moderado">
      <formula>NOT(ISERROR(SEARCH("Moderado",Q142)))</formula>
    </cfRule>
    <cfRule type="containsText" dxfId="7669" priority="8909" operator="containsText" text="Menor">
      <formula>NOT(ISERROR(SEARCH("Menor",Q142)))</formula>
    </cfRule>
    <cfRule type="containsText" dxfId="7668" priority="8908" operator="containsText" text="Leve">
      <formula>NOT(ISERROR(SEARCH("Leve",Q142)))</formula>
    </cfRule>
    <cfRule type="cellIs" dxfId="7667" priority="8927" operator="equal">
      <formula>"Alta"</formula>
    </cfRule>
    <cfRule type="cellIs" dxfId="7666" priority="8930" operator="equal">
      <formula>"Muy Baja"</formula>
    </cfRule>
    <cfRule type="cellIs" dxfId="7665" priority="8929" operator="equal">
      <formula>"Baja"</formula>
    </cfRule>
    <cfRule type="cellIs" dxfId="7664" priority="8928" operator="equal">
      <formula>"Media"</formula>
    </cfRule>
  </conditionalFormatting>
  <conditionalFormatting sqref="Q152">
    <cfRule type="containsText" dxfId="7663" priority="8751" operator="containsText" text="Catastrófico">
      <formula>NOT(ISERROR(SEARCH("Catastrófico",Q152)))</formula>
    </cfRule>
    <cfRule type="cellIs" dxfId="7658" priority="8767" operator="equal">
      <formula>"Media"</formula>
    </cfRule>
    <cfRule type="cellIs" dxfId="7653" priority="8769" operator="equal">
      <formula>"Muy Baja"</formula>
    </cfRule>
    <cfRule type="cellIs" dxfId="7652" priority="8768" operator="equal">
      <formula>"Baja"</formula>
    </cfRule>
    <cfRule type="cellIs" dxfId="7651" priority="8766" operator="equal">
      <formula>"Alta"</formula>
    </cfRule>
    <cfRule type="cellIs" dxfId="7650" priority="8765" operator="equal">
      <formula>"Muy Alta"</formula>
    </cfRule>
    <cfRule type="containsText" dxfId="7645" priority="8750" operator="containsText" text="Mayor">
      <formula>NOT(ISERROR(SEARCH("Mayor",Q152)))</formula>
    </cfRule>
    <cfRule type="containsText" dxfId="7644" priority="8747" operator="containsText" text="Leve">
      <formula>NOT(ISERROR(SEARCH("Leve",Q152)))</formula>
    </cfRule>
    <cfRule type="containsText" dxfId="7643" priority="8748" operator="containsText" text="Menor">
      <formula>NOT(ISERROR(SEARCH("Menor",Q152)))</formula>
    </cfRule>
    <cfRule type="containsText" dxfId="7642" priority="8749" operator="containsText" text="Moderado">
      <formula>NOT(ISERROR(SEARCH("Moderado",Q152)))</formula>
    </cfRule>
  </conditionalFormatting>
  <conditionalFormatting sqref="Q162">
    <cfRule type="containsText" dxfId="7640" priority="8648" operator="containsText" text="Leve">
      <formula>NOT(ISERROR(SEARCH("Leve",Q162)))</formula>
    </cfRule>
    <cfRule type="containsText" dxfId="7636" priority="8649" operator="containsText" text="Menor">
      <formula>NOT(ISERROR(SEARCH("Menor",Q162)))</formula>
    </cfRule>
    <cfRule type="cellIs" dxfId="7628" priority="8666" operator="equal">
      <formula>"Muy Alta"</formula>
    </cfRule>
    <cfRule type="cellIs" dxfId="7627" priority="8667" operator="equal">
      <formula>"Alta"</formula>
    </cfRule>
    <cfRule type="cellIs" dxfId="7626" priority="8668" operator="equal">
      <formula>"Media"</formula>
    </cfRule>
    <cfRule type="cellIs" dxfId="7624" priority="8670" operator="equal">
      <formula>"Muy Baja"</formula>
    </cfRule>
    <cfRule type="containsText" dxfId="7623" priority="8652" operator="containsText" text="Catastrófico">
      <formula>NOT(ISERROR(SEARCH("Catastrófico",Q162)))</formula>
    </cfRule>
    <cfRule type="containsText" dxfId="7622" priority="8651" operator="containsText" text="Mayor">
      <formula>NOT(ISERROR(SEARCH("Mayor",Q162)))</formula>
    </cfRule>
    <cfRule type="containsText" dxfId="7621" priority="8650" operator="containsText" text="Moderado">
      <formula>NOT(ISERROR(SEARCH("Moderado",Q162)))</formula>
    </cfRule>
    <cfRule type="cellIs" dxfId="7620" priority="8669" operator="equal">
      <formula>"Baja"</formula>
    </cfRule>
  </conditionalFormatting>
  <conditionalFormatting sqref="Q172">
    <cfRule type="containsText" dxfId="7619" priority="8601" operator="containsText" text="Menor">
      <formula>NOT(ISERROR(SEARCH("Menor",Q172)))</formula>
    </cfRule>
    <cfRule type="containsText" dxfId="7618" priority="8600" operator="containsText" text="Leve">
      <formula>NOT(ISERROR(SEARCH("Leve",Q172)))</formula>
    </cfRule>
    <cfRule type="containsText" dxfId="7617" priority="8602" operator="containsText" text="Moderado">
      <formula>NOT(ISERROR(SEARCH("Moderado",Q172)))</formula>
    </cfRule>
    <cfRule type="containsText" dxfId="7616" priority="8603" operator="containsText" text="Mayor">
      <formula>NOT(ISERROR(SEARCH("Mayor",Q172)))</formula>
    </cfRule>
    <cfRule type="containsText" dxfId="7615" priority="8604" operator="containsText" text="Catastrófico">
      <formula>NOT(ISERROR(SEARCH("Catastrófico",Q172)))</formula>
    </cfRule>
    <cfRule type="cellIs" dxfId="7602" priority="8618" operator="equal">
      <formula>"Muy Alta"</formula>
    </cfRule>
    <cfRule type="cellIs" dxfId="7601" priority="8619" operator="equal">
      <formula>"Alta"</formula>
    </cfRule>
    <cfRule type="cellIs" dxfId="7600" priority="8620" operator="equal">
      <formula>"Media"</formula>
    </cfRule>
    <cfRule type="cellIs" dxfId="7599" priority="8621" operator="equal">
      <formula>"Baja"</formula>
    </cfRule>
    <cfRule type="cellIs" dxfId="7598" priority="8622" operator="equal">
      <formula>"Muy Baja"</formula>
    </cfRule>
  </conditionalFormatting>
  <conditionalFormatting sqref="Q182">
    <cfRule type="cellIs" dxfId="7597" priority="8457" operator="equal">
      <formula>"Muy Alta"</formula>
    </cfRule>
    <cfRule type="containsText" dxfId="7596" priority="8440" operator="containsText" text="Menor">
      <formula>NOT(ISERROR(SEARCH("Menor",Q182)))</formula>
    </cfRule>
    <cfRule type="containsText" dxfId="7595" priority="8442" operator="containsText" text="Mayor">
      <formula>NOT(ISERROR(SEARCH("Mayor",Q182)))</formula>
    </cfRule>
    <cfRule type="containsText" dxfId="7594" priority="8439" operator="containsText" text="Leve">
      <formula>NOT(ISERROR(SEARCH("Leve",Q182)))</formula>
    </cfRule>
    <cfRule type="containsText" dxfId="7593" priority="8441" operator="containsText" text="Moderado">
      <formula>NOT(ISERROR(SEARCH("Moderado",Q182)))</formula>
    </cfRule>
    <cfRule type="cellIs" dxfId="7592" priority="8461" operator="equal">
      <formula>"Muy Baja"</formula>
    </cfRule>
    <cfRule type="cellIs" dxfId="7591" priority="8460" operator="equal">
      <formula>"Baja"</formula>
    </cfRule>
    <cfRule type="cellIs" dxfId="7590" priority="8459" operator="equal">
      <formula>"Media"</formula>
    </cfRule>
    <cfRule type="cellIs" dxfId="7589" priority="8458" operator="equal">
      <formula>"Alta"</formula>
    </cfRule>
    <cfRule type="containsText" dxfId="7576" priority="8443" operator="containsText" text="Catastrófico">
      <formula>NOT(ISERROR(SEARCH("Catastrófico",Q182)))</formula>
    </cfRule>
  </conditionalFormatting>
  <conditionalFormatting sqref="Q192">
    <cfRule type="containsText" dxfId="7574" priority="8343" operator="containsText" text="Mayor">
      <formula>NOT(ISERROR(SEARCH("Mayor",Q192)))</formula>
    </cfRule>
    <cfRule type="containsText" dxfId="7573" priority="8344" operator="containsText" text="Catastrófico">
      <formula>NOT(ISERROR(SEARCH("Catastrófico",Q192)))</formula>
    </cfRule>
    <cfRule type="containsText" dxfId="7567" priority="8341" operator="containsText" text="Menor">
      <formula>NOT(ISERROR(SEARCH("Menor",Q192)))</formula>
    </cfRule>
    <cfRule type="containsText" dxfId="7561" priority="8342" operator="containsText" text="Moderado">
      <formula>NOT(ISERROR(SEARCH("Moderado",Q192)))</formula>
    </cfRule>
    <cfRule type="cellIs" dxfId="7559" priority="8360" operator="equal">
      <formula>"Media"</formula>
    </cfRule>
    <cfRule type="containsText" dxfId="7558" priority="8340" operator="containsText" text="Leve">
      <formula>NOT(ISERROR(SEARCH("Leve",Q192)))</formula>
    </cfRule>
    <cfRule type="cellIs" dxfId="7557" priority="8358" operator="equal">
      <formula>"Muy Alta"</formula>
    </cfRule>
    <cfRule type="cellIs" dxfId="7556" priority="8359" operator="equal">
      <formula>"Alta"</formula>
    </cfRule>
    <cfRule type="cellIs" dxfId="7555" priority="8361" operator="equal">
      <formula>"Baja"</formula>
    </cfRule>
    <cfRule type="cellIs" dxfId="7554" priority="8362" operator="equal">
      <formula>"Muy Baja"</formula>
    </cfRule>
  </conditionalFormatting>
  <conditionalFormatting sqref="Q202">
    <cfRule type="containsText" dxfId="7548" priority="8292" operator="containsText" text="Leve">
      <formula>NOT(ISERROR(SEARCH("Leve",Q202)))</formula>
    </cfRule>
    <cfRule type="cellIs" dxfId="7545" priority="8310" operator="equal">
      <formula>"Muy Alta"</formula>
    </cfRule>
    <cfRule type="cellIs" dxfId="7544" priority="8312" operator="equal">
      <formula>"Media"</formula>
    </cfRule>
    <cfRule type="cellIs" dxfId="7543" priority="8313" operator="equal">
      <formula>"Baja"</formula>
    </cfRule>
    <cfRule type="cellIs" dxfId="7542" priority="8311" operator="equal">
      <formula>"Alta"</formula>
    </cfRule>
    <cfRule type="containsText" dxfId="7539" priority="8296" operator="containsText" text="Catastrófico">
      <formula>NOT(ISERROR(SEARCH("Catastrófico",Q202)))</formula>
    </cfRule>
    <cfRule type="containsText" dxfId="7538" priority="8295" operator="containsText" text="Mayor">
      <formula>NOT(ISERROR(SEARCH("Mayor",Q202)))</formula>
    </cfRule>
    <cfRule type="cellIs" dxfId="7537" priority="8314" operator="equal">
      <formula>"Muy Baja"</formula>
    </cfRule>
    <cfRule type="containsText" dxfId="7536" priority="8293" operator="containsText" text="Menor">
      <formula>NOT(ISERROR(SEARCH("Menor",Q202)))</formula>
    </cfRule>
    <cfRule type="containsText" dxfId="7535" priority="8294" operator="containsText" text="Moderado">
      <formula>NOT(ISERROR(SEARCH("Moderado",Q202)))</formula>
    </cfRule>
  </conditionalFormatting>
  <conditionalFormatting sqref="Q212">
    <cfRule type="cellIs" dxfId="7527" priority="8151" operator="equal">
      <formula>"Media"</formula>
    </cfRule>
    <cfRule type="cellIs" dxfId="7525" priority="8153" operator="equal">
      <formula>"Muy Baja"</formula>
    </cfRule>
    <cfRule type="cellIs" dxfId="7524" priority="8152" operator="equal">
      <formula>"Baja"</formula>
    </cfRule>
    <cfRule type="containsText" dxfId="7522" priority="8135" operator="containsText" text="Catastrófico">
      <formula>NOT(ISERROR(SEARCH("Catastrófico",Q212)))</formula>
    </cfRule>
    <cfRule type="cellIs" dxfId="7521" priority="8150" operator="equal">
      <formula>"Alta"</formula>
    </cfRule>
    <cfRule type="cellIs" dxfId="7520" priority="8149" operator="equal">
      <formula>"Muy Alta"</formula>
    </cfRule>
    <cfRule type="containsText" dxfId="7515" priority="8134" operator="containsText" text="Mayor">
      <formula>NOT(ISERROR(SEARCH("Mayor",Q212)))</formula>
    </cfRule>
    <cfRule type="containsText" dxfId="7513" priority="8133" operator="containsText" text="Moderado">
      <formula>NOT(ISERROR(SEARCH("Moderado",Q212)))</formula>
    </cfRule>
    <cfRule type="containsText" dxfId="7511" priority="8132" operator="containsText" text="Menor">
      <formula>NOT(ISERROR(SEARCH("Menor",Q212)))</formula>
    </cfRule>
    <cfRule type="containsText" dxfId="7510" priority="8131" operator="containsText" text="Leve">
      <formula>NOT(ISERROR(SEARCH("Leve",Q212)))</formula>
    </cfRule>
  </conditionalFormatting>
  <conditionalFormatting sqref="Q222">
    <cfRule type="cellIs" dxfId="7501" priority="7938" operator="equal">
      <formula>"Muy Alta"</formula>
    </cfRule>
    <cfRule type="containsText" dxfId="7500" priority="7923" operator="containsText" text="Mayor">
      <formula>NOT(ISERROR(SEARCH("Mayor",Q222)))</formula>
    </cfRule>
    <cfRule type="containsText" dxfId="7499" priority="7922" operator="containsText" text="Moderado">
      <formula>NOT(ISERROR(SEARCH("Moderado",Q222)))</formula>
    </cfRule>
    <cfRule type="containsText" dxfId="7497" priority="7921" operator="containsText" text="Menor">
      <formula>NOT(ISERROR(SEARCH("Menor",Q222)))</formula>
    </cfRule>
    <cfRule type="containsText" dxfId="7496" priority="7920" operator="containsText" text="Leve">
      <formula>NOT(ISERROR(SEARCH("Leve",Q222)))</formula>
    </cfRule>
    <cfRule type="containsText" dxfId="7493" priority="7924" operator="containsText" text="Catastrófico">
      <formula>NOT(ISERROR(SEARCH("Catastrófico",Q222)))</formula>
    </cfRule>
    <cfRule type="cellIs" dxfId="7492" priority="7941" operator="equal">
      <formula>"Baja"</formula>
    </cfRule>
    <cfRule type="cellIs" dxfId="7491" priority="7940" operator="equal">
      <formula>"Media"</formula>
    </cfRule>
    <cfRule type="cellIs" dxfId="7489" priority="7939" operator="equal">
      <formula>"Alta"</formula>
    </cfRule>
    <cfRule type="cellIs" dxfId="7488" priority="7942" operator="equal">
      <formula>"Muy Baja"</formula>
    </cfRule>
  </conditionalFormatting>
  <conditionalFormatting sqref="Q232">
    <cfRule type="cellIs" dxfId="7486" priority="7894" operator="equal">
      <formula>"Muy Baja"</formula>
    </cfRule>
    <cfRule type="cellIs" dxfId="7485" priority="7893" operator="equal">
      <formula>"Baja"</formula>
    </cfRule>
    <cfRule type="cellIs" dxfId="7484" priority="7892" operator="equal">
      <formula>"Media"</formula>
    </cfRule>
    <cfRule type="cellIs" dxfId="7483" priority="7891" operator="equal">
      <formula>"Alta"</formula>
    </cfRule>
    <cfRule type="cellIs" dxfId="7482" priority="7890" operator="equal">
      <formula>"Muy Alta"</formula>
    </cfRule>
    <cfRule type="containsText" dxfId="7470" priority="7876" operator="containsText" text="Catastrófico">
      <formula>NOT(ISERROR(SEARCH("Catastrófico",Q232)))</formula>
    </cfRule>
    <cfRule type="containsText" dxfId="7469" priority="7875" operator="containsText" text="Mayor">
      <formula>NOT(ISERROR(SEARCH("Mayor",Q232)))</formula>
    </cfRule>
    <cfRule type="containsText" dxfId="7468" priority="7874" operator="containsText" text="Moderado">
      <formula>NOT(ISERROR(SEARCH("Moderado",Q232)))</formula>
    </cfRule>
    <cfRule type="containsText" dxfId="7467" priority="7873" operator="containsText" text="Menor">
      <formula>NOT(ISERROR(SEARCH("Menor",Q232)))</formula>
    </cfRule>
    <cfRule type="containsText" dxfId="7466" priority="7872" operator="containsText" text="Leve">
      <formula>NOT(ISERROR(SEARCH("Leve",Q232)))</formula>
    </cfRule>
  </conditionalFormatting>
  <conditionalFormatting sqref="Q242">
    <cfRule type="cellIs" dxfId="7457" priority="7842" operator="equal">
      <formula>"Muy Alta"</formula>
    </cfRule>
    <cfRule type="cellIs" dxfId="7456" priority="7843" operator="equal">
      <formula>"Alta"</formula>
    </cfRule>
    <cfRule type="cellIs" dxfId="7455" priority="7844" operator="equal">
      <formula>"Media"</formula>
    </cfRule>
    <cfRule type="cellIs" dxfId="7454" priority="7845" operator="equal">
      <formula>"Baja"</formula>
    </cfRule>
    <cfRule type="cellIs" dxfId="7453" priority="7846" operator="equal">
      <formula>"Muy Baja"</formula>
    </cfRule>
    <cfRule type="containsText" dxfId="7452" priority="7827" operator="containsText" text="Mayor">
      <formula>NOT(ISERROR(SEARCH("Mayor",Q242)))</formula>
    </cfRule>
    <cfRule type="containsText" dxfId="7451" priority="7828" operator="containsText" text="Catastrófico">
      <formula>NOT(ISERROR(SEARCH("Catastrófico",Q242)))</formula>
    </cfRule>
    <cfRule type="containsText" dxfId="7448" priority="7824" operator="containsText" text="Leve">
      <formula>NOT(ISERROR(SEARCH("Leve",Q242)))</formula>
    </cfRule>
    <cfRule type="containsText" dxfId="7446" priority="7825" operator="containsText" text="Menor">
      <formula>NOT(ISERROR(SEARCH("Menor",Q242)))</formula>
    </cfRule>
    <cfRule type="containsText" dxfId="7445" priority="7826" operator="containsText" text="Moderado">
      <formula>NOT(ISERROR(SEARCH("Moderado",Q242)))</formula>
    </cfRule>
  </conditionalFormatting>
  <conditionalFormatting sqref="Q252">
    <cfRule type="cellIs" dxfId="7439" priority="7794" operator="equal">
      <formula>"Muy Alta"</formula>
    </cfRule>
    <cfRule type="cellIs" dxfId="7438" priority="7795" operator="equal">
      <formula>"Alta"</formula>
    </cfRule>
    <cfRule type="cellIs" dxfId="7437" priority="7796" operator="equal">
      <formula>"Media"</formula>
    </cfRule>
    <cfRule type="cellIs" dxfId="7436" priority="7797" operator="equal">
      <formula>"Baja"</formula>
    </cfRule>
    <cfRule type="cellIs" dxfId="7434" priority="7798" operator="equal">
      <formula>"Muy Baja"</formula>
    </cfRule>
    <cfRule type="containsText" dxfId="7428" priority="7780" operator="containsText" text="Catastrófico">
      <formula>NOT(ISERROR(SEARCH("Catastrófico",Q252)))</formula>
    </cfRule>
    <cfRule type="containsText" dxfId="7427" priority="7779" operator="containsText" text="Mayor">
      <formula>NOT(ISERROR(SEARCH("Mayor",Q252)))</formula>
    </cfRule>
    <cfRule type="containsText" dxfId="7426" priority="7778" operator="containsText" text="Moderado">
      <formula>NOT(ISERROR(SEARCH("Moderado",Q252)))</formula>
    </cfRule>
    <cfRule type="containsText" dxfId="7425" priority="7777" operator="containsText" text="Menor">
      <formula>NOT(ISERROR(SEARCH("Menor",Q252)))</formula>
    </cfRule>
    <cfRule type="containsText" dxfId="7424" priority="7776" operator="containsText" text="Leve">
      <formula>NOT(ISERROR(SEARCH("Leve",Q252)))</formula>
    </cfRule>
  </conditionalFormatting>
  <conditionalFormatting sqref="Q262">
    <cfRule type="containsText" dxfId="7421" priority="7730" operator="containsText" text="Moderado">
      <formula>NOT(ISERROR(SEARCH("Moderado",Q262)))</formula>
    </cfRule>
    <cfRule type="containsText" dxfId="7420" priority="7729" operator="containsText" text="Menor">
      <formula>NOT(ISERROR(SEARCH("Menor",Q262)))</formula>
    </cfRule>
    <cfRule type="containsText" dxfId="7419" priority="7728" operator="containsText" text="Leve">
      <formula>NOT(ISERROR(SEARCH("Leve",Q262)))</formula>
    </cfRule>
    <cfRule type="cellIs" dxfId="7416" priority="7750" operator="equal">
      <formula>"Muy Baja"</formula>
    </cfRule>
    <cfRule type="cellIs" dxfId="7414" priority="7748" operator="equal">
      <formula>"Media"</formula>
    </cfRule>
    <cfRule type="containsText" dxfId="7411" priority="7732" operator="containsText" text="Catastrófico">
      <formula>NOT(ISERROR(SEARCH("Catastrófico",Q262)))</formula>
    </cfRule>
    <cfRule type="containsText" dxfId="7410" priority="7731" operator="containsText" text="Mayor">
      <formula>NOT(ISERROR(SEARCH("Mayor",Q262)))</formula>
    </cfRule>
    <cfRule type="cellIs" dxfId="7409" priority="7747" operator="equal">
      <formula>"Alta"</formula>
    </cfRule>
    <cfRule type="cellIs" dxfId="7408" priority="7749" operator="equal">
      <formula>"Baja"</formula>
    </cfRule>
    <cfRule type="cellIs" dxfId="7400" priority="7746" operator="equal">
      <formula>"Muy Alta"</formula>
    </cfRule>
  </conditionalFormatting>
  <conditionalFormatting sqref="Q272">
    <cfRule type="cellIs" dxfId="7393" priority="7698" operator="equal">
      <formula>"Muy Alta"</formula>
    </cfRule>
    <cfRule type="cellIs" dxfId="7392" priority="7699" operator="equal">
      <formula>"Alta"</formula>
    </cfRule>
    <cfRule type="cellIs" dxfId="7391" priority="7700" operator="equal">
      <formula>"Media"</formula>
    </cfRule>
    <cfRule type="cellIs" dxfId="7390" priority="7701" operator="equal">
      <formula>"Baja"</formula>
    </cfRule>
    <cfRule type="cellIs" dxfId="7389" priority="7702" operator="equal">
      <formula>"Muy Baja"</formula>
    </cfRule>
    <cfRule type="containsText" dxfId="7387" priority="7680" operator="containsText" text="Leve">
      <formula>NOT(ISERROR(SEARCH("Leve",Q272)))</formula>
    </cfRule>
    <cfRule type="containsText" dxfId="7386" priority="7681" operator="containsText" text="Menor">
      <formula>NOT(ISERROR(SEARCH("Menor",Q272)))</formula>
    </cfRule>
    <cfRule type="containsText" dxfId="7385" priority="7682" operator="containsText" text="Moderado">
      <formula>NOT(ISERROR(SEARCH("Moderado",Q272)))</formula>
    </cfRule>
    <cfRule type="containsText" dxfId="7384" priority="7683" operator="containsText" text="Mayor">
      <formula>NOT(ISERROR(SEARCH("Mayor",Q272)))</formula>
    </cfRule>
    <cfRule type="containsText" dxfId="7383" priority="7684" operator="containsText" text="Catastrófico">
      <formula>NOT(ISERROR(SEARCH("Catastrófico",Q272)))</formula>
    </cfRule>
  </conditionalFormatting>
  <conditionalFormatting sqref="Q282">
    <cfRule type="containsText" dxfId="7377" priority="7634" operator="containsText" text="Moderado">
      <formula>NOT(ISERROR(SEARCH("Moderado",Q282)))</formula>
    </cfRule>
    <cfRule type="cellIs" dxfId="7370" priority="7651" operator="equal">
      <formula>"Alta"</formula>
    </cfRule>
    <cfRule type="cellIs" dxfId="7368" priority="7650" operator="equal">
      <formula>"Muy Alta"</formula>
    </cfRule>
    <cfRule type="cellIs" dxfId="7367" priority="7653" operator="equal">
      <formula>"Baja"</formula>
    </cfRule>
    <cfRule type="cellIs" dxfId="7366" priority="7654" operator="equal">
      <formula>"Muy Baja"</formula>
    </cfRule>
    <cfRule type="containsText" dxfId="7364" priority="7632" operator="containsText" text="Leve">
      <formula>NOT(ISERROR(SEARCH("Leve",Q282)))</formula>
    </cfRule>
    <cfRule type="containsText" dxfId="7363" priority="7633" operator="containsText" text="Menor">
      <formula>NOT(ISERROR(SEARCH("Menor",Q282)))</formula>
    </cfRule>
    <cfRule type="cellIs" dxfId="7362" priority="7652" operator="equal">
      <formula>"Media"</formula>
    </cfRule>
    <cfRule type="containsText" dxfId="7361" priority="7635" operator="containsText" text="Mayor">
      <formula>NOT(ISERROR(SEARCH("Mayor",Q282)))</formula>
    </cfRule>
    <cfRule type="containsText" dxfId="7360" priority="7636" operator="containsText" text="Catastrófico">
      <formula>NOT(ISERROR(SEARCH("Catastrófico",Q282)))</formula>
    </cfRule>
  </conditionalFormatting>
  <conditionalFormatting sqref="Q292">
    <cfRule type="containsText" dxfId="7354" priority="7585" operator="containsText" text="Menor">
      <formula>NOT(ISERROR(SEARCH("Menor",Q292)))</formula>
    </cfRule>
    <cfRule type="containsText" dxfId="7351" priority="7588" operator="containsText" text="Catastrófico">
      <formula>NOT(ISERROR(SEARCH("Catastrófico",Q292)))</formula>
    </cfRule>
    <cfRule type="containsText" dxfId="7350" priority="7587" operator="containsText" text="Mayor">
      <formula>NOT(ISERROR(SEARCH("Mayor",Q292)))</formula>
    </cfRule>
    <cfRule type="containsText" dxfId="7349" priority="7586" operator="containsText" text="Moderado">
      <formula>NOT(ISERROR(SEARCH("Moderado",Q292)))</formula>
    </cfRule>
    <cfRule type="containsText" dxfId="7348" priority="7584" operator="containsText" text="Leve">
      <formula>NOT(ISERROR(SEARCH("Leve",Q292)))</formula>
    </cfRule>
    <cfRule type="cellIs" dxfId="7347" priority="7606" operator="equal">
      <formula>"Muy Baja"</formula>
    </cfRule>
    <cfRule type="cellIs" dxfId="7346" priority="7604" operator="equal">
      <formula>"Media"</formula>
    </cfRule>
    <cfRule type="cellIs" dxfId="7345" priority="7605" operator="equal">
      <formula>"Baja"</formula>
    </cfRule>
    <cfRule type="cellIs" dxfId="7344" priority="7603" operator="equal">
      <formula>"Alta"</formula>
    </cfRule>
    <cfRule type="cellIs" dxfId="7343" priority="7602" operator="equal">
      <formula>"Muy Alta"</formula>
    </cfRule>
  </conditionalFormatting>
  <conditionalFormatting sqref="Q302">
    <cfRule type="containsText" dxfId="7333" priority="7537" operator="containsText" text="Menor">
      <formula>NOT(ISERROR(SEARCH("Menor",Q302)))</formula>
    </cfRule>
    <cfRule type="containsText" dxfId="7332" priority="7538" operator="containsText" text="Moderado">
      <formula>NOT(ISERROR(SEARCH("Moderado",Q302)))</formula>
    </cfRule>
    <cfRule type="containsText" dxfId="7331" priority="7539" operator="containsText" text="Mayor">
      <formula>NOT(ISERROR(SEARCH("Mayor",Q302)))</formula>
    </cfRule>
    <cfRule type="containsText" dxfId="7330" priority="7540" operator="containsText" text="Catastrófico">
      <formula>NOT(ISERROR(SEARCH("Catastrófico",Q302)))</formula>
    </cfRule>
    <cfRule type="cellIs" dxfId="7324" priority="7558" operator="equal">
      <formula>"Muy Baja"</formula>
    </cfRule>
    <cfRule type="cellIs" dxfId="7323" priority="7557" operator="equal">
      <formula>"Baja"</formula>
    </cfRule>
    <cfRule type="cellIs" dxfId="7322" priority="7556" operator="equal">
      <formula>"Media"</formula>
    </cfRule>
    <cfRule type="cellIs" dxfId="7321" priority="7555" operator="equal">
      <formula>"Alta"</formula>
    </cfRule>
    <cfRule type="containsText" dxfId="7320" priority="7536" operator="containsText" text="Leve">
      <formula>NOT(ISERROR(SEARCH("Leve",Q302)))</formula>
    </cfRule>
    <cfRule type="cellIs" dxfId="7312" priority="7554" operator="equal">
      <formula>"Muy Alta"</formula>
    </cfRule>
  </conditionalFormatting>
  <conditionalFormatting sqref="Q312">
    <cfRule type="cellIs" dxfId="7309" priority="7173" operator="equal">
      <formula>"Alta"</formula>
    </cfRule>
    <cfRule type="containsText" dxfId="7308" priority="7154" operator="containsText" text="Leve">
      <formula>NOT(ISERROR(SEARCH("Leve",Q312)))</formula>
    </cfRule>
    <cfRule type="containsText" dxfId="7307" priority="7155" operator="containsText" text="Menor">
      <formula>NOT(ISERROR(SEARCH("Menor",Q312)))</formula>
    </cfRule>
    <cfRule type="containsText" dxfId="7306" priority="7156" operator="containsText" text="Moderado">
      <formula>NOT(ISERROR(SEARCH("Moderado",Q312)))</formula>
    </cfRule>
    <cfRule type="containsText" dxfId="7305" priority="7157" operator="containsText" text="Mayor">
      <formula>NOT(ISERROR(SEARCH("Mayor",Q312)))</formula>
    </cfRule>
    <cfRule type="cellIs" dxfId="7295" priority="7172" operator="equal">
      <formula>"Muy Alta"</formula>
    </cfRule>
    <cfRule type="cellIs" dxfId="7294" priority="7174" operator="equal">
      <formula>"Media"</formula>
    </cfRule>
    <cfRule type="cellIs" dxfId="7293" priority="7175" operator="equal">
      <formula>"Baja"</formula>
    </cfRule>
    <cfRule type="cellIs" dxfId="7292" priority="7176" operator="equal">
      <formula>"Muy Baja"</formula>
    </cfRule>
    <cfRule type="containsText" dxfId="7291" priority="7158" operator="containsText" text="Catastrófico">
      <formula>NOT(ISERROR(SEARCH("Catastrófico",Q312)))</formula>
    </cfRule>
  </conditionalFormatting>
  <conditionalFormatting sqref="Q322">
    <cfRule type="containsText" dxfId="7287" priority="74" operator="containsText" text="Catastrófico">
      <formula>NOT(ISERROR(SEARCH("Catastrófico",Q322)))</formula>
    </cfRule>
    <cfRule type="containsText" dxfId="7286" priority="71" operator="containsText" text="Menor">
      <formula>NOT(ISERROR(SEARCH("Menor",Q322)))</formula>
    </cfRule>
    <cfRule type="containsText" dxfId="7285" priority="70" operator="containsText" text="Leve">
      <formula>NOT(ISERROR(SEARCH("Leve",Q322)))</formula>
    </cfRule>
    <cfRule type="cellIs" dxfId="7284" priority="92" operator="equal">
      <formula>"Muy Baja"</formula>
    </cfRule>
    <cfRule type="containsText" dxfId="7277" priority="73" operator="containsText" text="Mayor">
      <formula>NOT(ISERROR(SEARCH("Mayor",Q322)))</formula>
    </cfRule>
    <cfRule type="containsText" dxfId="7276" priority="72" operator="containsText" text="Moderado">
      <formula>NOT(ISERROR(SEARCH("Moderado",Q322)))</formula>
    </cfRule>
    <cfRule type="cellIs" dxfId="7271" priority="88" operator="equal">
      <formula>"Muy Alta"</formula>
    </cfRule>
    <cfRule type="cellIs" dxfId="7270" priority="89" operator="equal">
      <formula>"Alta"</formula>
    </cfRule>
    <cfRule type="cellIs" dxfId="7269" priority="90" operator="equal">
      <formula>"Media"</formula>
    </cfRule>
    <cfRule type="cellIs" dxfId="7268" priority="91" operator="equal">
      <formula>"Baja"</formula>
    </cfRule>
  </conditionalFormatting>
  <conditionalFormatting sqref="Q332">
    <cfRule type="cellIs" dxfId="7261" priority="68" operator="equal">
      <formula>"Baja"</formula>
    </cfRule>
    <cfRule type="cellIs" dxfId="7260" priority="67" operator="equal">
      <formula>"Media"</formula>
    </cfRule>
    <cfRule type="containsText" dxfId="7259" priority="51" operator="containsText" text="Catastrófico">
      <formula>NOT(ISERROR(SEARCH("Catastrófico",Q332)))</formula>
    </cfRule>
    <cfRule type="containsText" dxfId="7258" priority="50" operator="containsText" text="Mayor">
      <formula>NOT(ISERROR(SEARCH("Mayor",Q332)))</formula>
    </cfRule>
    <cfRule type="containsText" dxfId="7257" priority="49" operator="containsText" text="Moderado">
      <formula>NOT(ISERROR(SEARCH("Moderado",Q332)))</formula>
    </cfRule>
    <cfRule type="containsText" dxfId="7256" priority="48" operator="containsText" text="Menor">
      <formula>NOT(ISERROR(SEARCH("Menor",Q332)))</formula>
    </cfRule>
    <cfRule type="cellIs" dxfId="7254" priority="65" operator="equal">
      <formula>"Muy Alta"</formula>
    </cfRule>
    <cfRule type="cellIs" dxfId="7253" priority="69" operator="equal">
      <formula>"Muy Baja"</formula>
    </cfRule>
    <cfRule type="cellIs" dxfId="7248" priority="66" operator="equal">
      <formula>"Alta"</formula>
    </cfRule>
    <cfRule type="containsText" dxfId="7246" priority="47" operator="containsText" text="Leve">
      <formula>NOT(ISERROR(SEARCH("Leve",Q332)))</formula>
    </cfRule>
  </conditionalFormatting>
  <conditionalFormatting sqref="Q342">
    <cfRule type="containsText" dxfId="7245" priority="26" operator="containsText" text="Moderado">
      <formula>NOT(ISERROR(SEARCH("Moderado",Q342)))</formula>
    </cfRule>
    <cfRule type="containsText" dxfId="7244" priority="27" operator="containsText" text="Mayor">
      <formula>NOT(ISERROR(SEARCH("Mayor",Q342)))</formula>
    </cfRule>
    <cfRule type="containsText" dxfId="7243" priority="28" operator="containsText" text="Catastrófico">
      <formula>NOT(ISERROR(SEARCH("Catastrófico",Q342)))</formula>
    </cfRule>
    <cfRule type="cellIs" dxfId="7235" priority="46" operator="equal">
      <formula>"Muy Baja"</formula>
    </cfRule>
    <cfRule type="cellIs" dxfId="7234" priority="43" operator="equal">
      <formula>"Alta"</formula>
    </cfRule>
    <cfRule type="cellIs" dxfId="7233" priority="45" operator="equal">
      <formula>"Baja"</formula>
    </cfRule>
    <cfRule type="cellIs" dxfId="7232" priority="44" operator="equal">
      <formula>"Media"</formula>
    </cfRule>
    <cfRule type="cellIs" dxfId="7230" priority="42" operator="equal">
      <formula>"Muy Alta"</formula>
    </cfRule>
    <cfRule type="containsText" dxfId="7225" priority="25" operator="containsText" text="Menor">
      <formula>NOT(ISERROR(SEARCH("Menor",Q342)))</formula>
    </cfRule>
    <cfRule type="containsText" dxfId="7224" priority="24" operator="containsText" text="Leve">
      <formula>NOT(ISERROR(SEARCH("Leve",Q342)))</formula>
    </cfRule>
  </conditionalFormatting>
  <conditionalFormatting sqref="Q352">
    <cfRule type="containsText" dxfId="7223" priority="1" operator="containsText" text="Leve">
      <formula>NOT(ISERROR(SEARCH("Leve",Q352)))</formula>
    </cfRule>
    <cfRule type="cellIs" dxfId="7220" priority="19" operator="equal">
      <formula>"Muy Alta"</formula>
    </cfRule>
    <cfRule type="cellIs" dxfId="7219" priority="20" operator="equal">
      <formula>"Alta"</formula>
    </cfRule>
    <cfRule type="cellIs" dxfId="7218" priority="21" operator="equal">
      <formula>"Media"</formula>
    </cfRule>
    <cfRule type="cellIs" dxfId="7217" priority="23" operator="equal">
      <formula>"Muy Baja"</formula>
    </cfRule>
    <cfRule type="cellIs" dxfId="7216" priority="22" operator="equal">
      <formula>"Baja"</formula>
    </cfRule>
    <cfRule type="containsText" dxfId="7214" priority="2" operator="containsText" text="Menor">
      <formula>NOT(ISERROR(SEARCH("Menor",Q352)))</formula>
    </cfRule>
    <cfRule type="containsText" dxfId="7213" priority="4" operator="containsText" text="Mayor">
      <formula>NOT(ISERROR(SEARCH("Mayor",Q352)))</formula>
    </cfRule>
    <cfRule type="containsText" dxfId="7212" priority="3" operator="containsText" text="Moderado">
      <formula>NOT(ISERROR(SEARCH("Moderado",Q352)))</formula>
    </cfRule>
    <cfRule type="containsText" dxfId="7211" priority="5" operator="containsText" text="Catastrófico">
      <formula>NOT(ISERROR(SEARCH("Catastrófico",Q352)))</formula>
    </cfRule>
  </conditionalFormatting>
  <conditionalFormatting sqref="Q362">
    <cfRule type="cellIs" dxfId="7200" priority="6677" operator="equal">
      <formula>"Muy Alta"</formula>
    </cfRule>
    <cfRule type="cellIs" dxfId="7199" priority="6678" operator="equal">
      <formula>"Alta"</formula>
    </cfRule>
    <cfRule type="cellIs" dxfId="7198" priority="6679" operator="equal">
      <formula>"Media"</formula>
    </cfRule>
    <cfRule type="cellIs" dxfId="7197" priority="6680" operator="equal">
      <formula>"Baja"</formula>
    </cfRule>
    <cfRule type="cellIs" dxfId="7196" priority="6681" operator="equal">
      <formula>"Muy Baja"</formula>
    </cfRule>
    <cfRule type="containsText" dxfId="7195" priority="6662" operator="containsText" text="Mayor">
      <formula>NOT(ISERROR(SEARCH("Mayor",Q362)))</formula>
    </cfRule>
    <cfRule type="containsText" dxfId="7194" priority="6659" operator="containsText" text="Leve">
      <formula>NOT(ISERROR(SEARCH("Leve",Q362)))</formula>
    </cfRule>
    <cfRule type="containsText" dxfId="7193" priority="6660" operator="containsText" text="Menor">
      <formula>NOT(ISERROR(SEARCH("Menor",Q362)))</formula>
    </cfRule>
    <cfRule type="containsText" dxfId="7192" priority="6661" operator="containsText" text="Moderado">
      <formula>NOT(ISERROR(SEARCH("Moderado",Q362)))</formula>
    </cfRule>
    <cfRule type="containsText" dxfId="7191" priority="6663" operator="containsText" text="Catastrófico">
      <formula>NOT(ISERROR(SEARCH("Catastrófico",Q362)))</formula>
    </cfRule>
  </conditionalFormatting>
  <conditionalFormatting sqref="Q372">
    <cfRule type="containsText" dxfId="7179" priority="6544" operator="containsText" text="Leve">
      <formula>NOT(ISERROR(SEARCH("Leve",Q372)))</formula>
    </cfRule>
    <cfRule type="cellIs" dxfId="7177" priority="6566" operator="equal">
      <formula>"Muy Baja"</formula>
    </cfRule>
    <cfRule type="cellIs" dxfId="7176" priority="6565" operator="equal">
      <formula>"Baja"</formula>
    </cfRule>
    <cfRule type="cellIs" dxfId="7175" priority="6564" operator="equal">
      <formula>"Media"</formula>
    </cfRule>
    <cfRule type="containsText" dxfId="7173" priority="6548" operator="containsText" text="Catastrófico">
      <formula>NOT(ISERROR(SEARCH("Catastrófico",Q372)))</formula>
    </cfRule>
    <cfRule type="containsText" dxfId="7172" priority="6547" operator="containsText" text="Mayor">
      <formula>NOT(ISERROR(SEARCH("Mayor",Q372)))</formula>
    </cfRule>
    <cfRule type="containsText" dxfId="7171" priority="6546" operator="containsText" text="Moderado">
      <formula>NOT(ISERROR(SEARCH("Moderado",Q372)))</formula>
    </cfRule>
    <cfRule type="containsText" dxfId="7170" priority="6545" operator="containsText" text="Menor">
      <formula>NOT(ISERROR(SEARCH("Menor",Q372)))</formula>
    </cfRule>
    <cfRule type="cellIs" dxfId="7169" priority="6563" operator="equal">
      <formula>"Alta"</formula>
    </cfRule>
    <cfRule type="cellIs" dxfId="7168" priority="6562" operator="equal">
      <formula>"Muy Alta"</formula>
    </cfRule>
  </conditionalFormatting>
  <conditionalFormatting sqref="Q382">
    <cfRule type="containsText" dxfId="7157" priority="6500" operator="containsText" text="Catastrófico">
      <formula>NOT(ISERROR(SEARCH("Catastrófico",Q382)))</formula>
    </cfRule>
    <cfRule type="containsText" dxfId="7156" priority="6496" operator="containsText" text="Leve">
      <formula>NOT(ISERROR(SEARCH("Leve",Q382)))</formula>
    </cfRule>
    <cfRule type="containsText" dxfId="7155" priority="6497" operator="containsText" text="Menor">
      <formula>NOT(ISERROR(SEARCH("Menor",Q382)))</formula>
    </cfRule>
    <cfRule type="containsText" dxfId="7154" priority="6498" operator="containsText" text="Moderado">
      <formula>NOT(ISERROR(SEARCH("Moderado",Q382)))</formula>
    </cfRule>
    <cfRule type="containsText" dxfId="7153" priority="6499" operator="containsText" text="Mayor">
      <formula>NOT(ISERROR(SEARCH("Mayor",Q382)))</formula>
    </cfRule>
    <cfRule type="cellIs" dxfId="7152" priority="6518" operator="equal">
      <formula>"Muy Baja"</formula>
    </cfRule>
    <cfRule type="cellIs" dxfId="7151" priority="6517" operator="equal">
      <formula>"Baja"</formula>
    </cfRule>
    <cfRule type="cellIs" dxfId="7145" priority="6516" operator="equal">
      <formula>"Media"</formula>
    </cfRule>
    <cfRule type="cellIs" dxfId="7144" priority="6515" operator="equal">
      <formula>"Alta"</formula>
    </cfRule>
    <cfRule type="cellIs" dxfId="7143" priority="6514" operator="equal">
      <formula>"Muy Alta"</formula>
    </cfRule>
  </conditionalFormatting>
  <conditionalFormatting sqref="Q392">
    <cfRule type="cellIs" dxfId="7129" priority="6466" operator="equal">
      <formula>"Muy Alta"</formula>
    </cfRule>
    <cfRule type="cellIs" dxfId="7128" priority="6467" operator="equal">
      <formula>"Alta"</formula>
    </cfRule>
    <cfRule type="cellIs" dxfId="7127" priority="6468" operator="equal">
      <formula>"Media"</formula>
    </cfRule>
    <cfRule type="cellIs" dxfId="7126" priority="6469" operator="equal">
      <formula>"Baja"</formula>
    </cfRule>
    <cfRule type="cellIs" dxfId="7125" priority="6470" operator="equal">
      <formula>"Muy Baja"</formula>
    </cfRule>
    <cfRule type="containsText" dxfId="7123" priority="6448" operator="containsText" text="Leve">
      <formula>NOT(ISERROR(SEARCH("Leve",Q392)))</formula>
    </cfRule>
    <cfRule type="containsText" dxfId="7122" priority="6449" operator="containsText" text="Menor">
      <formula>NOT(ISERROR(SEARCH("Menor",Q392)))</formula>
    </cfRule>
    <cfRule type="containsText" dxfId="7121" priority="6450" operator="containsText" text="Moderado">
      <formula>NOT(ISERROR(SEARCH("Moderado",Q392)))</formula>
    </cfRule>
    <cfRule type="containsText" dxfId="7120" priority="6451" operator="containsText" text="Mayor">
      <formula>NOT(ISERROR(SEARCH("Mayor",Q392)))</formula>
    </cfRule>
    <cfRule type="containsText" dxfId="7119" priority="6452" operator="containsText" text="Catastrófico">
      <formula>NOT(ISERROR(SEARCH("Catastrófico",Q392)))</formula>
    </cfRule>
  </conditionalFormatting>
  <conditionalFormatting sqref="Q402">
    <cfRule type="cellIs" dxfId="7111" priority="6281" operator="equal">
      <formula>"Media"</formula>
    </cfRule>
    <cfRule type="containsText" dxfId="7105" priority="6265" operator="containsText" text="Catastrófico">
      <formula>NOT(ISERROR(SEARCH("Catastrófico",Q402)))</formula>
    </cfRule>
    <cfRule type="containsText" dxfId="7104" priority="6264" operator="containsText" text="Mayor">
      <formula>NOT(ISERROR(SEARCH("Mayor",Q402)))</formula>
    </cfRule>
    <cfRule type="containsText" dxfId="7103" priority="6263" operator="containsText" text="Moderado">
      <formula>NOT(ISERROR(SEARCH("Moderado",Q402)))</formula>
    </cfRule>
    <cfRule type="containsText" dxfId="7102" priority="6262" operator="containsText" text="Menor">
      <formula>NOT(ISERROR(SEARCH("Menor",Q402)))</formula>
    </cfRule>
    <cfRule type="containsText" dxfId="7101" priority="6261" operator="containsText" text="Leve">
      <formula>NOT(ISERROR(SEARCH("Leve",Q402)))</formula>
    </cfRule>
    <cfRule type="cellIs" dxfId="7096" priority="6279" operator="equal">
      <formula>"Muy Alta"</formula>
    </cfRule>
    <cfRule type="cellIs" dxfId="7095" priority="6280" operator="equal">
      <formula>"Alta"</formula>
    </cfRule>
    <cfRule type="cellIs" dxfId="7094" priority="6282" operator="equal">
      <formula>"Baja"</formula>
    </cfRule>
    <cfRule type="cellIs" dxfId="7093" priority="6283" operator="equal">
      <formula>"Muy Baja"</formula>
    </cfRule>
  </conditionalFormatting>
  <conditionalFormatting sqref="Q412">
    <cfRule type="containsText" dxfId="7091" priority="6180" operator="containsText" text="Moderado">
      <formula>NOT(ISERROR(SEARCH("Moderado",Q412)))</formula>
    </cfRule>
    <cfRule type="containsText" dxfId="7090" priority="6179" operator="containsText" text="Menor">
      <formula>NOT(ISERROR(SEARCH("Menor",Q412)))</formula>
    </cfRule>
    <cfRule type="cellIs" dxfId="7089" priority="6197" operator="equal">
      <formula>"Alta"</formula>
    </cfRule>
    <cfRule type="cellIs" dxfId="7088" priority="6200" operator="equal">
      <formula>"Muy Baja"</formula>
    </cfRule>
    <cfRule type="cellIs" dxfId="7087" priority="6199" operator="equal">
      <formula>"Baja"</formula>
    </cfRule>
    <cfRule type="cellIs" dxfId="7086" priority="6198" operator="equal">
      <formula>"Media"</formula>
    </cfRule>
    <cfRule type="cellIs" dxfId="7085" priority="6196" operator="equal">
      <formula>"Muy Alta"</formula>
    </cfRule>
    <cfRule type="containsText" dxfId="7072" priority="6178" operator="containsText" text="Leve">
      <formula>NOT(ISERROR(SEARCH("Leve",Q412)))</formula>
    </cfRule>
    <cfRule type="containsText" dxfId="7071" priority="6182" operator="containsText" text="Catastrófico">
      <formula>NOT(ISERROR(SEARCH("Catastrófico",Q412)))</formula>
    </cfRule>
    <cfRule type="containsText" dxfId="7070" priority="6181" operator="containsText" text="Mayor">
      <formula>NOT(ISERROR(SEARCH("Mayor",Q412)))</formula>
    </cfRule>
  </conditionalFormatting>
  <conditionalFormatting sqref="Q422">
    <cfRule type="cellIs" dxfId="7069" priority="6064" operator="equal">
      <formula>"Baja"</formula>
    </cfRule>
    <cfRule type="cellIs" dxfId="7068" priority="6065" operator="equal">
      <formula>"Muy Baja"</formula>
    </cfRule>
    <cfRule type="containsText" dxfId="7067" priority="6043" operator="containsText" text="Leve">
      <formula>NOT(ISERROR(SEARCH("Leve",Q422)))</formula>
    </cfRule>
    <cfRule type="containsText" dxfId="7066" priority="6044" operator="containsText" text="Menor">
      <formula>NOT(ISERROR(SEARCH("Menor",Q422)))</formula>
    </cfRule>
    <cfRule type="containsText" dxfId="7065" priority="6045" operator="containsText" text="Moderado">
      <formula>NOT(ISERROR(SEARCH("Moderado",Q422)))</formula>
    </cfRule>
    <cfRule type="containsText" dxfId="7064" priority="6046" operator="containsText" text="Mayor">
      <formula>NOT(ISERROR(SEARCH("Mayor",Q422)))</formula>
    </cfRule>
    <cfRule type="containsText" dxfId="7063" priority="6047" operator="containsText" text="Catastrófico">
      <formula>NOT(ISERROR(SEARCH("Catastrófico",Q422)))</formula>
    </cfRule>
    <cfRule type="cellIs" dxfId="7050" priority="6061" operator="equal">
      <formula>"Muy Alta"</formula>
    </cfRule>
    <cfRule type="cellIs" dxfId="7049" priority="6062" operator="equal">
      <formula>"Alta"</formula>
    </cfRule>
    <cfRule type="cellIs" dxfId="7048" priority="6063" operator="equal">
      <formula>"Media"</formula>
    </cfRule>
  </conditionalFormatting>
  <conditionalFormatting sqref="Q432">
    <cfRule type="cellIs" dxfId="7047" priority="5980" operator="equal">
      <formula>"Media"</formula>
    </cfRule>
    <cfRule type="containsText" dxfId="7046" priority="5960" operator="containsText" text="Leve">
      <formula>NOT(ISERROR(SEARCH("Leve",Q432)))</formula>
    </cfRule>
    <cfRule type="cellIs" dxfId="7045" priority="5978" operator="equal">
      <formula>"Muy Alta"</formula>
    </cfRule>
    <cfRule type="cellIs" dxfId="7044" priority="5982" operator="equal">
      <formula>"Muy Baja"</formula>
    </cfRule>
    <cfRule type="cellIs" dxfId="7043" priority="5981" operator="equal">
      <formula>"Baja"</formula>
    </cfRule>
    <cfRule type="cellIs" dxfId="7041" priority="5979" operator="equal">
      <formula>"Alta"</formula>
    </cfRule>
    <cfRule type="containsText" dxfId="7037" priority="5963" operator="containsText" text="Mayor">
      <formula>NOT(ISERROR(SEARCH("Mayor",Q432)))</formula>
    </cfRule>
    <cfRule type="containsText" dxfId="7029" priority="5964" operator="containsText" text="Catastrófico">
      <formula>NOT(ISERROR(SEARCH("Catastrófico",Q432)))</formula>
    </cfRule>
    <cfRule type="containsText" dxfId="7027" priority="5962" operator="containsText" text="Moderado">
      <formula>NOT(ISERROR(SEARCH("Moderado",Q432)))</formula>
    </cfRule>
    <cfRule type="containsText" dxfId="7026" priority="5961" operator="containsText" text="Menor">
      <formula>NOT(ISERROR(SEARCH("Menor",Q432)))</formula>
    </cfRule>
  </conditionalFormatting>
  <conditionalFormatting sqref="Q442">
    <cfRule type="containsText" dxfId="7025" priority="5727" operator="containsText" text="Menor">
      <formula>NOT(ISERROR(SEARCH("Menor",Q442)))</formula>
    </cfRule>
    <cfRule type="containsText" dxfId="7024" priority="5726" operator="containsText" text="Leve">
      <formula>NOT(ISERROR(SEARCH("Leve",Q442)))</formula>
    </cfRule>
    <cfRule type="cellIs" dxfId="7022" priority="5746" operator="equal">
      <formula>"Media"</formula>
    </cfRule>
    <cfRule type="cellIs" dxfId="7021" priority="5745" operator="equal">
      <formula>"Alta"</formula>
    </cfRule>
    <cfRule type="cellIs" dxfId="7020" priority="5744" operator="equal">
      <formula>"Muy Alta"</formula>
    </cfRule>
    <cfRule type="cellIs" dxfId="7017" priority="5748" operator="equal">
      <formula>"Muy Baja"</formula>
    </cfRule>
    <cfRule type="cellIs" dxfId="7013" priority="5747" operator="equal">
      <formula>"Baja"</formula>
    </cfRule>
    <cfRule type="containsText" dxfId="7007" priority="5730" operator="containsText" text="Catastrófico">
      <formula>NOT(ISERROR(SEARCH("Catastrófico",Q442)))</formula>
    </cfRule>
    <cfRule type="containsText" dxfId="7006" priority="5729" operator="containsText" text="Mayor">
      <formula>NOT(ISERROR(SEARCH("Mayor",Q442)))</formula>
    </cfRule>
    <cfRule type="containsText" dxfId="7005" priority="5728" operator="containsText" text="Moderado">
      <formula>NOT(ISERROR(SEARCH("Moderado",Q442)))</formula>
    </cfRule>
  </conditionalFormatting>
  <conditionalFormatting sqref="Q452">
    <cfRule type="cellIs" dxfId="7003" priority="5697" operator="equal">
      <formula>"Alta"</formula>
    </cfRule>
    <cfRule type="containsText" dxfId="6992" priority="5678" operator="containsText" text="Leve">
      <formula>NOT(ISERROR(SEARCH("Leve",Q452)))</formula>
    </cfRule>
    <cfRule type="cellIs" dxfId="6991" priority="5696" operator="equal">
      <formula>"Muy Alta"</formula>
    </cfRule>
    <cfRule type="containsText" dxfId="6988" priority="5682" operator="containsText" text="Catastrófico">
      <formula>NOT(ISERROR(SEARCH("Catastrófico",Q452)))</formula>
    </cfRule>
    <cfRule type="containsText" dxfId="6987" priority="5681" operator="containsText" text="Mayor">
      <formula>NOT(ISERROR(SEARCH("Mayor",Q452)))</formula>
    </cfRule>
    <cfRule type="containsText" dxfId="6986" priority="5680" operator="containsText" text="Moderado">
      <formula>NOT(ISERROR(SEARCH("Moderado",Q452)))</formula>
    </cfRule>
    <cfRule type="containsText" dxfId="6985" priority="5679" operator="containsText" text="Menor">
      <formula>NOT(ISERROR(SEARCH("Menor",Q452)))</formula>
    </cfRule>
    <cfRule type="cellIs" dxfId="6984" priority="5700" operator="equal">
      <formula>"Muy Baja"</formula>
    </cfRule>
    <cfRule type="cellIs" dxfId="6983" priority="5699" operator="equal">
      <formula>"Baja"</formula>
    </cfRule>
    <cfRule type="cellIs" dxfId="6982" priority="5698" operator="equal">
      <formula>"Media"</formula>
    </cfRule>
  </conditionalFormatting>
  <conditionalFormatting sqref="Q462">
    <cfRule type="cellIs" dxfId="6980" priority="5649" operator="equal">
      <formula>"Alta"</formula>
    </cfRule>
    <cfRule type="cellIs" dxfId="6979" priority="5650" operator="equal">
      <formula>"Media"</formula>
    </cfRule>
    <cfRule type="cellIs" dxfId="6978" priority="5651" operator="equal">
      <formula>"Baja"</formula>
    </cfRule>
    <cfRule type="containsText" dxfId="6976" priority="5630" operator="containsText" text="Leve">
      <formula>NOT(ISERROR(SEARCH("Leve",Q462)))</formula>
    </cfRule>
    <cfRule type="containsText" dxfId="6975" priority="5631" operator="containsText" text="Menor">
      <formula>NOT(ISERROR(SEARCH("Menor",Q462)))</formula>
    </cfRule>
    <cfRule type="containsText" dxfId="6974" priority="5632" operator="containsText" text="Moderado">
      <formula>NOT(ISERROR(SEARCH("Moderado",Q462)))</formula>
    </cfRule>
    <cfRule type="containsText" dxfId="6973" priority="5633" operator="containsText" text="Mayor">
      <formula>NOT(ISERROR(SEARCH("Mayor",Q462)))</formula>
    </cfRule>
    <cfRule type="containsText" dxfId="6972" priority="5634" operator="containsText" text="Catastrófico">
      <formula>NOT(ISERROR(SEARCH("Catastrófico",Q462)))</formula>
    </cfRule>
    <cfRule type="cellIs" dxfId="6966" priority="5652" operator="equal">
      <formula>"Muy Baja"</formula>
    </cfRule>
    <cfRule type="cellIs" dxfId="6960" priority="5648" operator="equal">
      <formula>"Muy Alta"</formula>
    </cfRule>
  </conditionalFormatting>
  <conditionalFormatting sqref="Q472">
    <cfRule type="cellIs" dxfId="6959" priority="5601" operator="equal">
      <formula>"Alta"</formula>
    </cfRule>
    <cfRule type="cellIs" dxfId="6958" priority="5602" operator="equal">
      <formula>"Media"</formula>
    </cfRule>
    <cfRule type="cellIs" dxfId="6957" priority="5603" operator="equal">
      <formula>"Baja"</formula>
    </cfRule>
    <cfRule type="cellIs" dxfId="6956" priority="5604" operator="equal">
      <formula>"Muy Baja"</formula>
    </cfRule>
    <cfRule type="containsText" dxfId="6952" priority="5583" operator="containsText" text="Menor">
      <formula>NOT(ISERROR(SEARCH("Menor",Q472)))</formula>
    </cfRule>
    <cfRule type="containsText" dxfId="6951" priority="5582" operator="containsText" text="Leve">
      <formula>NOT(ISERROR(SEARCH("Leve",Q472)))</formula>
    </cfRule>
    <cfRule type="cellIs" dxfId="6946" priority="5600" operator="equal">
      <formula>"Muy Alta"</formula>
    </cfRule>
    <cfRule type="containsText" dxfId="6940" priority="5586" operator="containsText" text="Catastrófico">
      <formula>NOT(ISERROR(SEARCH("Catastrófico",Q472)))</formula>
    </cfRule>
    <cfRule type="containsText" dxfId="6939" priority="5585" operator="containsText" text="Mayor">
      <formula>NOT(ISERROR(SEARCH("Mayor",Q472)))</formula>
    </cfRule>
    <cfRule type="containsText" dxfId="6938" priority="5584" operator="containsText" text="Moderado">
      <formula>NOT(ISERROR(SEARCH("Moderado",Q472)))</formula>
    </cfRule>
  </conditionalFormatting>
  <conditionalFormatting sqref="Q482">
    <cfRule type="containsText" dxfId="6933" priority="5538" operator="containsText" text="Catastrófico">
      <formula>NOT(ISERROR(SEARCH("Catastrófico",Q482)))</formula>
    </cfRule>
    <cfRule type="containsText" dxfId="6932" priority="5537" operator="containsText" text="Mayor">
      <formula>NOT(ISERROR(SEARCH("Mayor",Q482)))</formula>
    </cfRule>
    <cfRule type="containsText" dxfId="6931" priority="5536" operator="containsText" text="Moderado">
      <formula>NOT(ISERROR(SEARCH("Moderado",Q482)))</formula>
    </cfRule>
    <cfRule type="cellIs" dxfId="6930" priority="5555" operator="equal">
      <formula>"Baja"</formula>
    </cfRule>
    <cfRule type="cellIs" dxfId="6925" priority="5554" operator="equal">
      <formula>"Media"</formula>
    </cfRule>
    <cfRule type="cellIs" dxfId="6923" priority="5553" operator="equal">
      <formula>"Alta"</formula>
    </cfRule>
    <cfRule type="cellIs" dxfId="6920" priority="5556" operator="equal">
      <formula>"Muy Baja"</formula>
    </cfRule>
    <cfRule type="cellIs" dxfId="6919" priority="5552" operator="equal">
      <formula>"Muy Alta"</formula>
    </cfRule>
    <cfRule type="containsText" dxfId="6918" priority="5534" operator="containsText" text="Leve">
      <formula>NOT(ISERROR(SEARCH("Leve",Q482)))</formula>
    </cfRule>
    <cfRule type="containsText" dxfId="6917" priority="5535" operator="containsText" text="Menor">
      <formula>NOT(ISERROR(SEARCH("Menor",Q482)))</formula>
    </cfRule>
  </conditionalFormatting>
  <conditionalFormatting sqref="Q492">
    <cfRule type="containsText" dxfId="6910" priority="5490" operator="containsText" text="Catastrófico">
      <formula>NOT(ISERROR(SEARCH("Catastrófico",Q492)))</formula>
    </cfRule>
    <cfRule type="containsText" dxfId="6909" priority="5489" operator="containsText" text="Mayor">
      <formula>NOT(ISERROR(SEARCH("Mayor",Q492)))</formula>
    </cfRule>
    <cfRule type="containsText" dxfId="6908" priority="5488" operator="containsText" text="Moderado">
      <formula>NOT(ISERROR(SEARCH("Moderado",Q492)))</formula>
    </cfRule>
    <cfRule type="containsText" dxfId="6907" priority="5487" operator="containsText" text="Menor">
      <formula>NOT(ISERROR(SEARCH("Menor",Q492)))</formula>
    </cfRule>
    <cfRule type="containsText" dxfId="6906" priority="5486" operator="containsText" text="Leve">
      <formula>NOT(ISERROR(SEARCH("Leve",Q492)))</formula>
    </cfRule>
    <cfRule type="cellIs" dxfId="6904" priority="5508" operator="equal">
      <formula>"Muy Baja"</formula>
    </cfRule>
    <cfRule type="cellIs" dxfId="6903" priority="5507" operator="equal">
      <formula>"Baja"</formula>
    </cfRule>
    <cfRule type="cellIs" dxfId="6902" priority="5506" operator="equal">
      <formula>"Media"</formula>
    </cfRule>
    <cfRule type="cellIs" dxfId="6901" priority="5505" operator="equal">
      <formula>"Alta"</formula>
    </cfRule>
    <cfRule type="cellIs" dxfId="6900" priority="5504" operator="equal">
      <formula>"Muy Alta"</formula>
    </cfRule>
  </conditionalFormatting>
  <conditionalFormatting sqref="Q502">
    <cfRule type="cellIs" dxfId="6887" priority="5282" operator="equal">
      <formula>"Muy Baja"</formula>
    </cfRule>
    <cfRule type="cellIs" dxfId="6886" priority="5280" operator="equal">
      <formula>"Media"</formula>
    </cfRule>
    <cfRule type="cellIs" dxfId="6885" priority="5281" operator="equal">
      <formula>"Baja"</formula>
    </cfRule>
    <cfRule type="cellIs" dxfId="6884" priority="5279" operator="equal">
      <formula>"Alta"</formula>
    </cfRule>
    <cfRule type="containsText" dxfId="6883" priority="5260" operator="containsText" text="Leve">
      <formula>NOT(ISERROR(SEARCH("Leve",Q502)))</formula>
    </cfRule>
    <cfRule type="containsText" dxfId="6882" priority="5261" operator="containsText" text="Menor">
      <formula>NOT(ISERROR(SEARCH("Menor",Q502)))</formula>
    </cfRule>
    <cfRule type="containsText" dxfId="6881" priority="5262" operator="containsText" text="Moderado">
      <formula>NOT(ISERROR(SEARCH("Moderado",Q502)))</formula>
    </cfRule>
    <cfRule type="containsText" dxfId="6880" priority="5263" operator="containsText" text="Mayor">
      <formula>NOT(ISERROR(SEARCH("Mayor",Q502)))</formula>
    </cfRule>
    <cfRule type="containsText" dxfId="6879" priority="5264" operator="containsText" text="Catastrófico">
      <formula>NOT(ISERROR(SEARCH("Catastrófico",Q502)))</formula>
    </cfRule>
    <cfRule type="cellIs" dxfId="6873" priority="5278" operator="equal">
      <formula>"Muy Alta"</formula>
    </cfRule>
  </conditionalFormatting>
  <conditionalFormatting sqref="Q512">
    <cfRule type="cellIs" dxfId="6869" priority="5230" operator="equal">
      <formula>"Muy Alta"</formula>
    </cfRule>
    <cfRule type="cellIs" dxfId="6868" priority="5231" operator="equal">
      <formula>"Alta"</formula>
    </cfRule>
    <cfRule type="cellIs" dxfId="6867" priority="5232" operator="equal">
      <formula>"Media"</formula>
    </cfRule>
    <cfRule type="cellIs" dxfId="6866" priority="5233" operator="equal">
      <formula>"Baja"</formula>
    </cfRule>
    <cfRule type="cellIs" dxfId="6865" priority="5234" operator="equal">
      <formula>"Muy Baja"</formula>
    </cfRule>
    <cfRule type="containsText" dxfId="6864" priority="5215" operator="containsText" text="Mayor">
      <formula>NOT(ISERROR(SEARCH("Mayor",Q512)))</formula>
    </cfRule>
    <cfRule type="containsText" dxfId="6861" priority="5213" operator="containsText" text="Menor">
      <formula>NOT(ISERROR(SEARCH("Menor",Q512)))</formula>
    </cfRule>
    <cfRule type="containsText" dxfId="6859" priority="5212" operator="containsText" text="Leve">
      <formula>NOT(ISERROR(SEARCH("Leve",Q512)))</formula>
    </cfRule>
    <cfRule type="containsText" dxfId="6858" priority="5214" operator="containsText" text="Moderado">
      <formula>NOT(ISERROR(SEARCH("Moderado",Q512)))</formula>
    </cfRule>
    <cfRule type="containsText" dxfId="6856" priority="5216" operator="containsText" text="Catastrófico">
      <formula>NOT(ISERROR(SEARCH("Catastrófico",Q512)))</formula>
    </cfRule>
  </conditionalFormatting>
  <conditionalFormatting sqref="Q522">
    <cfRule type="cellIs" dxfId="6849" priority="5185" operator="equal">
      <formula>"Baja"</formula>
    </cfRule>
    <cfRule type="cellIs" dxfId="6846" priority="5186" operator="equal">
      <formula>"Muy Baja"</formula>
    </cfRule>
    <cfRule type="containsText" dxfId="6839" priority="5168" operator="containsText" text="Catastrófico">
      <formula>NOT(ISERROR(SEARCH("Catastrófico",Q522)))</formula>
    </cfRule>
    <cfRule type="containsText" dxfId="6838" priority="5167" operator="containsText" text="Mayor">
      <formula>NOT(ISERROR(SEARCH("Mayor",Q522)))</formula>
    </cfRule>
    <cfRule type="containsText" dxfId="6837" priority="5166" operator="containsText" text="Moderado">
      <formula>NOT(ISERROR(SEARCH("Moderado",Q522)))</formula>
    </cfRule>
    <cfRule type="containsText" dxfId="6833" priority="5164" operator="containsText" text="Leve">
      <formula>NOT(ISERROR(SEARCH("Leve",Q522)))</formula>
    </cfRule>
    <cfRule type="containsText" dxfId="6832" priority="5165" operator="containsText" text="Menor">
      <formula>NOT(ISERROR(SEARCH("Menor",Q522)))</formula>
    </cfRule>
    <cfRule type="cellIs" dxfId="6830" priority="5182" operator="equal">
      <formula>"Muy Alta"</formula>
    </cfRule>
    <cfRule type="cellIs" dxfId="6829" priority="5183" operator="equal">
      <formula>"Alta"</formula>
    </cfRule>
    <cfRule type="cellIs" dxfId="6828" priority="5184" operator="equal">
      <formula>"Media"</formula>
    </cfRule>
  </conditionalFormatting>
  <conditionalFormatting sqref="Q532">
    <cfRule type="containsText" dxfId="6822" priority="5013" operator="containsText" text="Catastrófico">
      <formula>NOT(ISERROR(SEARCH("Catastrófico",Q532)))</formula>
    </cfRule>
    <cfRule type="containsText" dxfId="6821" priority="5012" operator="containsText" text="Mayor">
      <formula>NOT(ISERROR(SEARCH("Mayor",Q532)))</formula>
    </cfRule>
    <cfRule type="containsText" dxfId="6820" priority="5011" operator="containsText" text="Moderado">
      <formula>NOT(ISERROR(SEARCH("Moderado",Q532)))</formula>
    </cfRule>
    <cfRule type="containsText" dxfId="6819" priority="5010" operator="containsText" text="Menor">
      <formula>NOT(ISERROR(SEARCH("Menor",Q532)))</formula>
    </cfRule>
    <cfRule type="containsText" dxfId="6818" priority="5009" operator="containsText" text="Leve">
      <formula>NOT(ISERROR(SEARCH("Leve",Q532)))</formula>
    </cfRule>
    <cfRule type="cellIs" dxfId="6813" priority="5027" operator="equal">
      <formula>"Muy Alta"</formula>
    </cfRule>
    <cfRule type="cellIs" dxfId="6812" priority="5028" operator="equal">
      <formula>"Alta"</formula>
    </cfRule>
    <cfRule type="cellIs" dxfId="6811" priority="5029" operator="equal">
      <formula>"Media"</formula>
    </cfRule>
    <cfRule type="cellIs" dxfId="6810" priority="5030" operator="equal">
      <formula>"Baja"</formula>
    </cfRule>
    <cfRule type="cellIs" dxfId="6809" priority="5031" operator="equal">
      <formula>"Muy Baja"</formula>
    </cfRule>
  </conditionalFormatting>
  <conditionalFormatting sqref="Q542">
    <cfRule type="cellIs" dxfId="6804" priority="4946" operator="equal">
      <formula>"Media"</formula>
    </cfRule>
    <cfRule type="cellIs" dxfId="6803" priority="4947" operator="equal">
      <formula>"Baja"</formula>
    </cfRule>
    <cfRule type="containsText" dxfId="6802" priority="4926" operator="containsText" text="Leve">
      <formula>NOT(ISERROR(SEARCH("Leve",Q542)))</formula>
    </cfRule>
    <cfRule type="containsText" dxfId="6801" priority="4927" operator="containsText" text="Menor">
      <formula>NOT(ISERROR(SEARCH("Menor",Q542)))</formula>
    </cfRule>
    <cfRule type="containsText" dxfId="6800" priority="4928" operator="containsText" text="Moderado">
      <formula>NOT(ISERROR(SEARCH("Moderado",Q542)))</formula>
    </cfRule>
    <cfRule type="cellIs" dxfId="6799" priority="4948" operator="equal">
      <formula>"Muy Baja"</formula>
    </cfRule>
    <cfRule type="containsText" dxfId="6798" priority="4930" operator="containsText" text="Catastrófico">
      <formula>NOT(ISERROR(SEARCH("Catastrófico",Q542)))</formula>
    </cfRule>
    <cfRule type="containsText" dxfId="6790" priority="4929" operator="containsText" text="Mayor">
      <formula>NOT(ISERROR(SEARCH("Mayor",Q542)))</formula>
    </cfRule>
    <cfRule type="cellIs" dxfId="6785" priority="4944" operator="equal">
      <formula>"Muy Alta"</formula>
    </cfRule>
    <cfRule type="cellIs" dxfId="6784" priority="4945" operator="equal">
      <formula>"Alta"</formula>
    </cfRule>
  </conditionalFormatting>
  <conditionalFormatting sqref="Q552">
    <cfRule type="containsText" dxfId="6780" priority="4776" operator="containsText" text="Catastrófico">
      <formula>NOT(ISERROR(SEARCH("Catastrófico",Q552)))</formula>
    </cfRule>
    <cfRule type="containsText" dxfId="6778" priority="4775" operator="containsText" text="Mayor">
      <formula>NOT(ISERROR(SEARCH("Mayor",Q552)))</formula>
    </cfRule>
    <cfRule type="containsText" dxfId="6776" priority="4772" operator="containsText" text="Leve">
      <formula>NOT(ISERROR(SEARCH("Leve",Q552)))</formula>
    </cfRule>
    <cfRule type="containsText" dxfId="6775" priority="4773" operator="containsText" text="Menor">
      <formula>NOT(ISERROR(SEARCH("Menor",Q552)))</formula>
    </cfRule>
    <cfRule type="containsText" dxfId="6774" priority="4774" operator="containsText" text="Moderado">
      <formula>NOT(ISERROR(SEARCH("Moderado",Q552)))</formula>
    </cfRule>
    <cfRule type="cellIs" dxfId="6772" priority="4794" operator="equal">
      <formula>"Muy Baja"</formula>
    </cfRule>
    <cfRule type="cellIs" dxfId="6771" priority="4793" operator="equal">
      <formula>"Baja"</formula>
    </cfRule>
    <cfRule type="cellIs" dxfId="6770" priority="4792" operator="equal">
      <formula>"Media"</formula>
    </cfRule>
    <cfRule type="cellIs" dxfId="6769" priority="4791" operator="equal">
      <formula>"Alta"</formula>
    </cfRule>
    <cfRule type="cellIs" dxfId="6768" priority="4790" operator="equal">
      <formula>"Muy Alta"</formula>
    </cfRule>
  </conditionalFormatting>
  <conditionalFormatting sqref="Q562">
    <cfRule type="cellIs" dxfId="6755" priority="4662" operator="equal">
      <formula>"Muy Alta"</formula>
    </cfRule>
    <cfRule type="cellIs" dxfId="6754" priority="4663" operator="equal">
      <formula>"Alta"</formula>
    </cfRule>
    <cfRule type="cellIs" dxfId="6753" priority="4664" operator="equal">
      <formula>"Media"</formula>
    </cfRule>
    <cfRule type="cellIs" dxfId="6752" priority="4665" operator="equal">
      <formula>"Baja"</formula>
    </cfRule>
    <cfRule type="containsText" dxfId="6751" priority="4644" operator="containsText" text="Leve">
      <formula>NOT(ISERROR(SEARCH("Leve",Q562)))</formula>
    </cfRule>
    <cfRule type="cellIs" dxfId="6750" priority="4666" operator="equal">
      <formula>"Muy Baja"</formula>
    </cfRule>
    <cfRule type="containsText" dxfId="6749" priority="4645" operator="containsText" text="Menor">
      <formula>NOT(ISERROR(SEARCH("Menor",Q562)))</formula>
    </cfRule>
    <cfRule type="containsText" dxfId="6748" priority="4646" operator="containsText" text="Moderado">
      <formula>NOT(ISERROR(SEARCH("Moderado",Q562)))</formula>
    </cfRule>
    <cfRule type="containsText" dxfId="6747" priority="4647" operator="containsText" text="Mayor">
      <formula>NOT(ISERROR(SEARCH("Mayor",Q562)))</formula>
    </cfRule>
    <cfRule type="containsText" dxfId="6740" priority="4648" operator="containsText" text="Catastrófico">
      <formula>NOT(ISERROR(SEARCH("Catastrófico",Q562)))</formula>
    </cfRule>
  </conditionalFormatting>
  <conditionalFormatting sqref="Q572">
    <cfRule type="cellIs" dxfId="6733" priority="4614" operator="equal">
      <formula>"Muy Alta"</formula>
    </cfRule>
    <cfRule type="cellIs" dxfId="6732" priority="4615" operator="equal">
      <formula>"Alta"</formula>
    </cfRule>
    <cfRule type="cellIs" dxfId="6731" priority="4616" operator="equal">
      <formula>"Media"</formula>
    </cfRule>
    <cfRule type="cellIs" dxfId="6730" priority="4617" operator="equal">
      <formula>"Baja"</formula>
    </cfRule>
    <cfRule type="cellIs" dxfId="6729" priority="4618" operator="equal">
      <formula>"Muy Baja"</formula>
    </cfRule>
    <cfRule type="containsText" dxfId="6727" priority="4596" operator="containsText" text="Leve">
      <formula>NOT(ISERROR(SEARCH("Leve",Q572)))</formula>
    </cfRule>
    <cfRule type="containsText" dxfId="6726" priority="4597" operator="containsText" text="Menor">
      <formula>NOT(ISERROR(SEARCH("Menor",Q572)))</formula>
    </cfRule>
    <cfRule type="containsText" dxfId="6725" priority="4598" operator="containsText" text="Moderado">
      <formula>NOT(ISERROR(SEARCH("Moderado",Q572)))</formula>
    </cfRule>
    <cfRule type="containsText" dxfId="6724" priority="4599" operator="containsText" text="Mayor">
      <formula>NOT(ISERROR(SEARCH("Mayor",Q572)))</formula>
    </cfRule>
    <cfRule type="containsText" dxfId="6723" priority="4600" operator="containsText" text="Catastrófico">
      <formula>NOT(ISERROR(SEARCH("Catastrófico",Q572)))</formula>
    </cfRule>
  </conditionalFormatting>
  <conditionalFormatting sqref="Q582">
    <cfRule type="cellIs" dxfId="6717" priority="4432" operator="equal">
      <formula>"Muy Baja"</formula>
    </cfRule>
    <cfRule type="containsText" dxfId="6712" priority="4414" operator="containsText" text="Catastrófico">
      <formula>NOT(ISERROR(SEARCH("Catastrófico",Q582)))</formula>
    </cfRule>
    <cfRule type="containsText" dxfId="6710" priority="4410" operator="containsText" text="Leve">
      <formula>NOT(ISERROR(SEARCH("Leve",Q582)))</formula>
    </cfRule>
    <cfRule type="containsText" dxfId="6708" priority="4411" operator="containsText" text="Menor">
      <formula>NOT(ISERROR(SEARCH("Menor",Q582)))</formula>
    </cfRule>
    <cfRule type="cellIs" dxfId="6707" priority="4431" operator="equal">
      <formula>"Baja"</formula>
    </cfRule>
    <cfRule type="containsText" dxfId="6706" priority="4413" operator="containsText" text="Mayor">
      <formula>NOT(ISERROR(SEARCH("Mayor",Q582)))</formula>
    </cfRule>
    <cfRule type="containsText" dxfId="6705" priority="4412" operator="containsText" text="Moderado">
      <formula>NOT(ISERROR(SEARCH("Moderado",Q582)))</formula>
    </cfRule>
    <cfRule type="cellIs" dxfId="6704" priority="4430" operator="equal">
      <formula>"Media"</formula>
    </cfRule>
    <cfRule type="cellIs" dxfId="6697" priority="4428" operator="equal">
      <formula>"Muy Alta"</formula>
    </cfRule>
    <cfRule type="cellIs" dxfId="6696" priority="4429" operator="equal">
      <formula>"Alta"</formula>
    </cfRule>
  </conditionalFormatting>
  <conditionalFormatting sqref="Q592">
    <cfRule type="cellIs" dxfId="6695" priority="4382" operator="equal">
      <formula>"Media"</formula>
    </cfRule>
    <cfRule type="cellIs" dxfId="6693" priority="4383" operator="equal">
      <formula>"Baja"</formula>
    </cfRule>
    <cfRule type="cellIs" dxfId="6692" priority="4381" operator="equal">
      <formula>"Alta"</formula>
    </cfRule>
    <cfRule type="cellIs" dxfId="6691" priority="4380" operator="equal">
      <formula>"Muy Alta"</formula>
    </cfRule>
    <cfRule type="containsText" dxfId="6686" priority="4362" operator="containsText" text="Leve">
      <formula>NOT(ISERROR(SEARCH("Leve",Q592)))</formula>
    </cfRule>
    <cfRule type="containsText" dxfId="6685" priority="4363" operator="containsText" text="Menor">
      <formula>NOT(ISERROR(SEARCH("Menor",Q592)))</formula>
    </cfRule>
    <cfRule type="containsText" dxfId="6684" priority="4364" operator="containsText" text="Moderado">
      <formula>NOT(ISERROR(SEARCH("Moderado",Q592)))</formula>
    </cfRule>
    <cfRule type="containsText" dxfId="6682" priority="4366" operator="containsText" text="Catastrófico">
      <formula>NOT(ISERROR(SEARCH("Catastrófico",Q592)))</formula>
    </cfRule>
    <cfRule type="containsText" dxfId="6678" priority="4365" operator="containsText" text="Mayor">
      <formula>NOT(ISERROR(SEARCH("Mayor",Q592)))</formula>
    </cfRule>
    <cfRule type="cellIs" dxfId="6675" priority="4384" operator="equal">
      <formula>"Muy Baja"</formula>
    </cfRule>
  </conditionalFormatting>
  <conditionalFormatting sqref="Q602">
    <cfRule type="containsText" dxfId="6672" priority="4314" operator="containsText" text="Leve">
      <formula>NOT(ISERROR(SEARCH("Leve",Q602)))</formula>
    </cfRule>
    <cfRule type="cellIs" dxfId="6666" priority="4332" operator="equal">
      <formula>"Muy Alta"</formula>
    </cfRule>
    <cfRule type="cellIs" dxfId="6664" priority="4333" operator="equal">
      <formula>"Alta"</formula>
    </cfRule>
    <cfRule type="cellIs" dxfId="6663" priority="4334" operator="equal">
      <formula>"Media"</formula>
    </cfRule>
    <cfRule type="cellIs" dxfId="6662" priority="4335" operator="equal">
      <formula>"Baja"</formula>
    </cfRule>
    <cfRule type="cellIs" dxfId="6661" priority="4336" operator="equal">
      <formula>"Muy Baja"</formula>
    </cfRule>
    <cfRule type="containsText" dxfId="6655" priority="4318" operator="containsText" text="Catastrófico">
      <formula>NOT(ISERROR(SEARCH("Catastrófico",Q602)))</formula>
    </cfRule>
    <cfRule type="containsText" dxfId="6654" priority="4317" operator="containsText" text="Mayor">
      <formula>NOT(ISERROR(SEARCH("Mayor",Q602)))</formula>
    </cfRule>
    <cfRule type="containsText" dxfId="6653" priority="4316" operator="containsText" text="Moderado">
      <formula>NOT(ISERROR(SEARCH("Moderado",Q602)))</formula>
    </cfRule>
    <cfRule type="containsText" dxfId="6652" priority="4315" operator="containsText" text="Menor">
      <formula>NOT(ISERROR(SEARCH("Menor",Q602)))</formula>
    </cfRule>
  </conditionalFormatting>
  <conditionalFormatting sqref="Q612">
    <cfRule type="containsText" dxfId="6646" priority="4080" operator="containsText" text="Catastrófico">
      <formula>NOT(ISERROR(SEARCH("Catastrófico",Q612)))</formula>
    </cfRule>
    <cfRule type="containsText" dxfId="6645" priority="4079" operator="containsText" text="Mayor">
      <formula>NOT(ISERROR(SEARCH("Mayor",Q612)))</formula>
    </cfRule>
    <cfRule type="containsText" dxfId="6644" priority="4078" operator="containsText" text="Moderado">
      <formula>NOT(ISERROR(SEARCH("Moderado",Q612)))</formula>
    </cfRule>
    <cfRule type="containsText" dxfId="6643" priority="4077" operator="containsText" text="Menor">
      <formula>NOT(ISERROR(SEARCH("Menor",Q612)))</formula>
    </cfRule>
    <cfRule type="containsText" dxfId="6642" priority="4076" operator="containsText" text="Leve">
      <formula>NOT(ISERROR(SEARCH("Leve",Q612)))</formula>
    </cfRule>
    <cfRule type="cellIs" dxfId="6639" priority="4098" operator="equal">
      <formula>"Muy Baja"</formula>
    </cfRule>
    <cfRule type="cellIs" dxfId="6638" priority="4097" operator="equal">
      <formula>"Baja"</formula>
    </cfRule>
    <cfRule type="cellIs" dxfId="6637" priority="4096" operator="equal">
      <formula>"Media"</formula>
    </cfRule>
    <cfRule type="cellIs" dxfId="6636" priority="4095" operator="equal">
      <formula>"Alta"</formula>
    </cfRule>
    <cfRule type="cellIs" dxfId="6635" priority="4094" operator="equal">
      <formula>"Muy Alta"</formula>
    </cfRule>
  </conditionalFormatting>
  <conditionalFormatting sqref="Q622">
    <cfRule type="containsText" dxfId="6629" priority="3980" operator="containsText" text="Menor">
      <formula>NOT(ISERROR(SEARCH("Menor",Q622)))</formula>
    </cfRule>
    <cfRule type="containsText" dxfId="6628" priority="3981" operator="containsText" text="Moderado">
      <formula>NOT(ISERROR(SEARCH("Moderado",Q622)))</formula>
    </cfRule>
    <cfRule type="cellIs" dxfId="6627" priority="3998" operator="equal">
      <formula>"Alta"</formula>
    </cfRule>
    <cfRule type="cellIs" dxfId="6626" priority="3997" operator="equal">
      <formula>"Muy Alta"</formula>
    </cfRule>
    <cfRule type="containsText" dxfId="6621" priority="3982" operator="containsText" text="Mayor">
      <formula>NOT(ISERROR(SEARCH("Mayor",Q622)))</formula>
    </cfRule>
    <cfRule type="containsText" dxfId="6618" priority="3983" operator="containsText" text="Catastrófico">
      <formula>NOT(ISERROR(SEARCH("Catastrófico",Q622)))</formula>
    </cfRule>
    <cfRule type="cellIs" dxfId="6613" priority="4001" operator="equal">
      <formula>"Muy Baja"</formula>
    </cfRule>
    <cfRule type="cellIs" dxfId="6612" priority="4000" operator="equal">
      <formula>"Baja"</formula>
    </cfRule>
    <cfRule type="cellIs" dxfId="6611" priority="3999" operator="equal">
      <formula>"Media"</formula>
    </cfRule>
    <cfRule type="containsText" dxfId="6608" priority="3979" operator="containsText" text="Leve">
      <formula>NOT(ISERROR(SEARCH("Leve",Q622)))</formula>
    </cfRule>
  </conditionalFormatting>
  <conditionalFormatting sqref="Q632">
    <cfRule type="containsText" dxfId="6604" priority="3884" operator="containsText" text="Catastrófico">
      <formula>NOT(ISERROR(SEARCH("Catastrófico",Q632)))</formula>
    </cfRule>
    <cfRule type="containsText" dxfId="6603" priority="3883" operator="containsText" text="Mayor">
      <formula>NOT(ISERROR(SEARCH("Mayor",Q632)))</formula>
    </cfRule>
    <cfRule type="containsText" dxfId="6602" priority="3882" operator="containsText" text="Moderado">
      <formula>NOT(ISERROR(SEARCH("Moderado",Q632)))</formula>
    </cfRule>
    <cfRule type="containsText" dxfId="6601" priority="3881" operator="containsText" text="Menor">
      <formula>NOT(ISERROR(SEARCH("Menor",Q632)))</formula>
    </cfRule>
    <cfRule type="containsText" dxfId="6600" priority="3880" operator="containsText" text="Leve">
      <formula>NOT(ISERROR(SEARCH("Leve",Q632)))</formula>
    </cfRule>
    <cfRule type="cellIs" dxfId="6598" priority="3900" operator="equal">
      <formula>"Media"</formula>
    </cfRule>
    <cfRule type="cellIs" dxfId="6592" priority="3902" operator="equal">
      <formula>"Muy Baja"</formula>
    </cfRule>
    <cfRule type="cellIs" dxfId="6591" priority="3901" operator="equal">
      <formula>"Baja"</formula>
    </cfRule>
    <cfRule type="cellIs" dxfId="6589" priority="3899" operator="equal">
      <formula>"Alta"</formula>
    </cfRule>
    <cfRule type="cellIs" dxfId="6588" priority="3898" operator="equal">
      <formula>"Muy Alta"</formula>
    </cfRule>
  </conditionalFormatting>
  <conditionalFormatting sqref="Q642">
    <cfRule type="cellIs" dxfId="6585" priority="3854" operator="equal">
      <formula>"Muy Baja"</formula>
    </cfRule>
    <cfRule type="cellIs" dxfId="6584" priority="3853" operator="equal">
      <formula>"Baja"</formula>
    </cfRule>
    <cfRule type="containsText" dxfId="6583" priority="3834" operator="containsText" text="Moderado">
      <formula>NOT(ISERROR(SEARCH("Moderado",Q642)))</formula>
    </cfRule>
    <cfRule type="cellIs" dxfId="6578" priority="3850" operator="equal">
      <formula>"Muy Alta"</formula>
    </cfRule>
    <cfRule type="cellIs" dxfId="6577" priority="3852" operator="equal">
      <formula>"Media"</formula>
    </cfRule>
    <cfRule type="containsText" dxfId="6569" priority="3836" operator="containsText" text="Catastrófico">
      <formula>NOT(ISERROR(SEARCH("Catastrófico",Q642)))</formula>
    </cfRule>
    <cfRule type="cellIs" dxfId="6568" priority="3851" operator="equal">
      <formula>"Alta"</formula>
    </cfRule>
    <cfRule type="containsText" dxfId="6567" priority="3832" operator="containsText" text="Leve">
      <formula>NOT(ISERROR(SEARCH("Leve",Q642)))</formula>
    </cfRule>
    <cfRule type="containsText" dxfId="6566" priority="3833" operator="containsText" text="Menor">
      <formula>NOT(ISERROR(SEARCH("Menor",Q642)))</formula>
    </cfRule>
    <cfRule type="containsText" dxfId="6565" priority="3835" operator="containsText" text="Mayor">
      <formula>NOT(ISERROR(SEARCH("Mayor",Q642)))</formula>
    </cfRule>
  </conditionalFormatting>
  <conditionalFormatting sqref="Q652">
    <cfRule type="cellIs" dxfId="6561" priority="3674" operator="equal">
      <formula>"Muy Alta"</formula>
    </cfRule>
    <cfRule type="cellIs" dxfId="6560" priority="3675" operator="equal">
      <formula>"Alta"</formula>
    </cfRule>
    <cfRule type="cellIs" dxfId="6559" priority="3676" operator="equal">
      <formula>"Media"</formula>
    </cfRule>
    <cfRule type="cellIs" dxfId="6558" priority="3677" operator="equal">
      <formula>"Baja"</formula>
    </cfRule>
    <cfRule type="cellIs" dxfId="6557" priority="3678" operator="equal">
      <formula>"Muy Baja"</formula>
    </cfRule>
    <cfRule type="containsText" dxfId="6555" priority="3656" operator="containsText" text="Leve">
      <formula>NOT(ISERROR(SEARCH("Leve",Q652)))</formula>
    </cfRule>
    <cfRule type="containsText" dxfId="6554" priority="3657" operator="containsText" text="Menor">
      <formula>NOT(ISERROR(SEARCH("Menor",Q652)))</formula>
    </cfRule>
    <cfRule type="containsText" dxfId="6553" priority="3658" operator="containsText" text="Moderado">
      <formula>NOT(ISERROR(SEARCH("Moderado",Q652)))</formula>
    </cfRule>
    <cfRule type="containsText" dxfId="6552" priority="3659" operator="containsText" text="Mayor">
      <formula>NOT(ISERROR(SEARCH("Mayor",Q652)))</formula>
    </cfRule>
    <cfRule type="containsText" dxfId="6551" priority="3660" operator="containsText" text="Catastrófico">
      <formula>NOT(ISERROR(SEARCH("Catastrófico",Q652)))</formula>
    </cfRule>
  </conditionalFormatting>
  <conditionalFormatting sqref="Q662">
    <cfRule type="cellIs" dxfId="6534" priority="3482" operator="equal">
      <formula>"Muy Baja"</formula>
    </cfRule>
    <cfRule type="cellIs" dxfId="6530" priority="3478" operator="equal">
      <formula>"Muy Alta"</formula>
    </cfRule>
    <cfRule type="containsText" dxfId="6527" priority="3464" operator="containsText" text="Catastrófico">
      <formula>NOT(ISERROR(SEARCH("Catastrófico",Q662)))</formula>
    </cfRule>
    <cfRule type="containsText" dxfId="6526" priority="3463" operator="containsText" text="Mayor">
      <formula>NOT(ISERROR(SEARCH("Mayor",Q662)))</formula>
    </cfRule>
    <cfRule type="containsText" dxfId="6525" priority="3462" operator="containsText" text="Moderado">
      <formula>NOT(ISERROR(SEARCH("Moderado",Q662)))</formula>
    </cfRule>
    <cfRule type="containsText" dxfId="6524" priority="3461" operator="containsText" text="Menor">
      <formula>NOT(ISERROR(SEARCH("Menor",Q662)))</formula>
    </cfRule>
    <cfRule type="containsText" dxfId="6523" priority="3460" operator="containsText" text="Leve">
      <formula>NOT(ISERROR(SEARCH("Leve",Q662)))</formula>
    </cfRule>
    <cfRule type="cellIs" dxfId="6522" priority="3479" operator="equal">
      <formula>"Alta"</formula>
    </cfRule>
    <cfRule type="cellIs" dxfId="6521" priority="3480" operator="equal">
      <formula>"Media"</formula>
    </cfRule>
    <cfRule type="cellIs" dxfId="6520" priority="3481" operator="equal">
      <formula>"Baja"</formula>
    </cfRule>
  </conditionalFormatting>
  <conditionalFormatting sqref="Q672">
    <cfRule type="containsText" dxfId="6519" priority="3416" operator="containsText" text="Catastrófico">
      <formula>NOT(ISERROR(SEARCH("Catastrófico",Q672)))</formula>
    </cfRule>
    <cfRule type="cellIs" dxfId="6513" priority="3434" operator="equal">
      <formula>"Muy Baja"</formula>
    </cfRule>
    <cfRule type="cellIs" dxfId="6508" priority="3430" operator="equal">
      <formula>"Muy Alta"</formula>
    </cfRule>
    <cfRule type="cellIs" dxfId="6507" priority="3431" operator="equal">
      <formula>"Alta"</formula>
    </cfRule>
    <cfRule type="cellIs" dxfId="6506" priority="3432" operator="equal">
      <formula>"Media"</formula>
    </cfRule>
    <cfRule type="cellIs" dxfId="6505" priority="3433" operator="equal">
      <formula>"Baja"</formula>
    </cfRule>
    <cfRule type="containsText" dxfId="6501" priority="3412" operator="containsText" text="Leve">
      <formula>NOT(ISERROR(SEARCH("Leve",Q672)))</formula>
    </cfRule>
    <cfRule type="containsText" dxfId="6500" priority="3413" operator="containsText" text="Menor">
      <formula>NOT(ISERROR(SEARCH("Menor",Q672)))</formula>
    </cfRule>
    <cfRule type="containsText" dxfId="6499" priority="3414" operator="containsText" text="Moderado">
      <formula>NOT(ISERROR(SEARCH("Moderado",Q672)))</formula>
    </cfRule>
    <cfRule type="containsText" dxfId="6498" priority="3415" operator="containsText" text="Mayor">
      <formula>NOT(ISERROR(SEARCH("Mayor",Q672)))</formula>
    </cfRule>
  </conditionalFormatting>
  <conditionalFormatting sqref="Q682">
    <cfRule type="cellIs" dxfId="6497" priority="3382" operator="equal">
      <formula>"Muy Alta"</formula>
    </cfRule>
    <cfRule type="containsText" dxfId="6496" priority="3367" operator="containsText" text="Mayor">
      <formula>NOT(ISERROR(SEARCH("Mayor",Q682)))</formula>
    </cfRule>
    <cfRule type="containsText" dxfId="6495" priority="3366" operator="containsText" text="Moderado">
      <formula>NOT(ISERROR(SEARCH("Moderado",Q682)))</formula>
    </cfRule>
    <cfRule type="containsText" dxfId="6494" priority="3365" operator="containsText" text="Menor">
      <formula>NOT(ISERROR(SEARCH("Menor",Q682)))</formula>
    </cfRule>
    <cfRule type="containsText" dxfId="6493" priority="3368" operator="containsText" text="Catastrófico">
      <formula>NOT(ISERROR(SEARCH("Catastrófico",Q682)))</formula>
    </cfRule>
    <cfRule type="containsText" dxfId="6491" priority="3364" operator="containsText" text="Leve">
      <formula>NOT(ISERROR(SEARCH("Leve",Q682)))</formula>
    </cfRule>
    <cfRule type="cellIs" dxfId="6490" priority="3386" operator="equal">
      <formula>"Muy Baja"</formula>
    </cfRule>
    <cfRule type="cellIs" dxfId="6489" priority="3385" operator="equal">
      <formula>"Baja"</formula>
    </cfRule>
    <cfRule type="cellIs" dxfId="6488" priority="3383" operator="equal">
      <formula>"Alta"</formula>
    </cfRule>
    <cfRule type="cellIs" dxfId="6487" priority="3384" operator="equal">
      <formula>"Media"</formula>
    </cfRule>
  </conditionalFormatting>
  <conditionalFormatting sqref="Q692">
    <cfRule type="cellIs" dxfId="6474" priority="3334" operator="equal">
      <formula>"Muy Alta"</formula>
    </cfRule>
    <cfRule type="containsText" dxfId="6472" priority="3318" operator="containsText" text="Moderado">
      <formula>NOT(ISERROR(SEARCH("Moderado",Q692)))</formula>
    </cfRule>
    <cfRule type="containsText" dxfId="6471" priority="3317" operator="containsText" text="Menor">
      <formula>NOT(ISERROR(SEARCH("Menor",Q692)))</formula>
    </cfRule>
    <cfRule type="containsText" dxfId="6470" priority="3316" operator="containsText" text="Leve">
      <formula>NOT(ISERROR(SEARCH("Leve",Q692)))</formula>
    </cfRule>
    <cfRule type="cellIs" dxfId="6469" priority="3335" operator="equal">
      <formula>"Alta"</formula>
    </cfRule>
    <cfRule type="cellIs" dxfId="6468" priority="3336" operator="equal">
      <formula>"Media"</formula>
    </cfRule>
    <cfRule type="cellIs" dxfId="6467" priority="3337" operator="equal">
      <formula>"Baja"</formula>
    </cfRule>
    <cfRule type="cellIs" dxfId="6465" priority="3338" operator="equal">
      <formula>"Muy Baja"</formula>
    </cfRule>
    <cfRule type="containsText" dxfId="6455" priority="3320" operator="containsText" text="Catastrófico">
      <formula>NOT(ISERROR(SEARCH("Catastrófico",Q692)))</formula>
    </cfRule>
    <cfRule type="containsText" dxfId="6454" priority="3319" operator="containsText" text="Mayor">
      <formula>NOT(ISERROR(SEARCH("Mayor",Q692)))</formula>
    </cfRule>
  </conditionalFormatting>
  <conditionalFormatting sqref="Q702">
    <cfRule type="cellIs" dxfId="6453" priority="3290" operator="equal">
      <formula>"Muy Baja"</formula>
    </cfRule>
    <cfRule type="cellIs" dxfId="6452" priority="3289" operator="equal">
      <formula>"Baja"</formula>
    </cfRule>
    <cfRule type="cellIs" dxfId="6451" priority="3287" operator="equal">
      <formula>"Alta"</formula>
    </cfRule>
    <cfRule type="containsText" dxfId="6450" priority="3269" operator="containsText" text="Menor">
      <formula>NOT(ISERROR(SEARCH("Menor",Q702)))</formula>
    </cfRule>
    <cfRule type="cellIs" dxfId="6448" priority="3286" operator="equal">
      <formula>"Muy Alta"</formula>
    </cfRule>
    <cfRule type="containsText" dxfId="6444" priority="3272" operator="containsText" text="Catastrófico">
      <formula>NOT(ISERROR(SEARCH("Catastrófico",Q702)))</formula>
    </cfRule>
    <cfRule type="containsText" dxfId="6443" priority="3271" operator="containsText" text="Mayor">
      <formula>NOT(ISERROR(SEARCH("Mayor",Q702)))</formula>
    </cfRule>
    <cfRule type="containsText" dxfId="6442" priority="3270" operator="containsText" text="Moderado">
      <formula>NOT(ISERROR(SEARCH("Moderado",Q702)))</formula>
    </cfRule>
    <cfRule type="containsText" dxfId="6436" priority="3268" operator="containsText" text="Leve">
      <formula>NOT(ISERROR(SEARCH("Leve",Q702)))</formula>
    </cfRule>
    <cfRule type="cellIs" dxfId="6434" priority="3288" operator="equal">
      <formula>"Media"</formula>
    </cfRule>
  </conditionalFormatting>
  <conditionalFormatting sqref="Q712">
    <cfRule type="containsText" dxfId="6430" priority="3220" operator="containsText" text="Leve">
      <formula>NOT(ISERROR(SEARCH("Leve",Q712)))</formula>
    </cfRule>
    <cfRule type="containsText" dxfId="6429" priority="3221" operator="containsText" text="Menor">
      <formula>NOT(ISERROR(SEARCH("Menor",Q712)))</formula>
    </cfRule>
    <cfRule type="containsText" dxfId="6428" priority="3222" operator="containsText" text="Moderado">
      <formula>NOT(ISERROR(SEARCH("Moderado",Q712)))</formula>
    </cfRule>
    <cfRule type="containsText" dxfId="6427" priority="3223" operator="containsText" text="Mayor">
      <formula>NOT(ISERROR(SEARCH("Mayor",Q712)))</formula>
    </cfRule>
    <cfRule type="containsText" dxfId="6426" priority="3224" operator="containsText" text="Catastrófico">
      <formula>NOT(ISERROR(SEARCH("Catastrófico",Q712)))</formula>
    </cfRule>
    <cfRule type="cellIs" dxfId="6414" priority="3238" operator="equal">
      <formula>"Muy Alta"</formula>
    </cfRule>
    <cfRule type="cellIs" dxfId="6413" priority="3239" operator="equal">
      <formula>"Alta"</formula>
    </cfRule>
    <cfRule type="cellIs" dxfId="6412" priority="3240" operator="equal">
      <formula>"Media"</formula>
    </cfRule>
    <cfRule type="cellIs" dxfId="6411" priority="3241" operator="equal">
      <formula>"Baja"</formula>
    </cfRule>
    <cfRule type="cellIs" dxfId="6410" priority="3242" operator="equal">
      <formula>"Muy Baja"</formula>
    </cfRule>
  </conditionalFormatting>
  <conditionalFormatting sqref="Q722">
    <cfRule type="containsText" dxfId="6408" priority="2839" operator="containsText" text="Menor">
      <formula>NOT(ISERROR(SEARCH("Menor",Q722)))</formula>
    </cfRule>
    <cfRule type="containsText" dxfId="6407" priority="2838" operator="containsText" text="Leve">
      <formula>NOT(ISERROR(SEARCH("Leve",Q722)))</formula>
    </cfRule>
    <cfRule type="cellIs" dxfId="6405" priority="2856" operator="equal">
      <formula>"Muy Alta"</formula>
    </cfRule>
    <cfRule type="cellIs" dxfId="6404" priority="2857" operator="equal">
      <formula>"Alta"</formula>
    </cfRule>
    <cfRule type="cellIs" dxfId="6403" priority="2858" operator="equal">
      <formula>"Media"</formula>
    </cfRule>
    <cfRule type="cellIs" dxfId="6402" priority="2860" operator="equal">
      <formula>"Muy Baja"</formula>
    </cfRule>
    <cfRule type="cellIs" dxfId="6401" priority="2859" operator="equal">
      <formula>"Baja"</formula>
    </cfRule>
    <cfRule type="containsText" dxfId="6390" priority="2842" operator="containsText" text="Catastrófico">
      <formula>NOT(ISERROR(SEARCH("Catastrófico",Q722)))</formula>
    </cfRule>
    <cfRule type="containsText" dxfId="6389" priority="2841" operator="containsText" text="Mayor">
      <formula>NOT(ISERROR(SEARCH("Mayor",Q722)))</formula>
    </cfRule>
    <cfRule type="containsText" dxfId="6388" priority="2840" operator="containsText" text="Moderado">
      <formula>NOT(ISERROR(SEARCH("Moderado",Q722)))</formula>
    </cfRule>
  </conditionalFormatting>
  <conditionalFormatting sqref="Q732">
    <cfRule type="containsText" dxfId="6387" priority="2791" operator="containsText" text="Menor">
      <formula>NOT(ISERROR(SEARCH("Menor",Q732)))</formula>
    </cfRule>
    <cfRule type="containsText" dxfId="6386" priority="2792" operator="containsText" text="Moderado">
      <formula>NOT(ISERROR(SEARCH("Moderado",Q732)))</formula>
    </cfRule>
    <cfRule type="containsText" dxfId="6385" priority="2793" operator="containsText" text="Mayor">
      <formula>NOT(ISERROR(SEARCH("Mayor",Q732)))</formula>
    </cfRule>
    <cfRule type="cellIs" dxfId="6380" priority="2809" operator="equal">
      <formula>"Alta"</formula>
    </cfRule>
    <cfRule type="cellIs" dxfId="6379" priority="2810" operator="equal">
      <formula>"Media"</formula>
    </cfRule>
    <cfRule type="containsText" dxfId="6378" priority="2790" operator="containsText" text="Leve">
      <formula>NOT(ISERROR(SEARCH("Leve",Q732)))</formula>
    </cfRule>
    <cfRule type="cellIs" dxfId="6373" priority="2811" operator="equal">
      <formula>"Baja"</formula>
    </cfRule>
    <cfRule type="cellIs" dxfId="6372" priority="2812" operator="equal">
      <formula>"Muy Baja"</formula>
    </cfRule>
    <cfRule type="containsText" dxfId="6367" priority="2794" operator="containsText" text="Catastrófico">
      <formula>NOT(ISERROR(SEARCH("Catastrófico",Q732)))</formula>
    </cfRule>
    <cfRule type="cellIs" dxfId="6366" priority="2808" operator="equal">
      <formula>"Muy Alta"</formula>
    </cfRule>
  </conditionalFormatting>
  <conditionalFormatting sqref="Q742">
    <cfRule type="cellIs" dxfId="6365" priority="2763" operator="equal">
      <formula>"Baja"</formula>
    </cfRule>
    <cfRule type="containsText" dxfId="6364" priority="2746" operator="containsText" text="Catastrófico">
      <formula>NOT(ISERROR(SEARCH("Catastrófico",Q742)))</formula>
    </cfRule>
    <cfRule type="cellIs" dxfId="6363" priority="2762" operator="equal">
      <formula>"Media"</formula>
    </cfRule>
    <cfRule type="cellIs" dxfId="6362" priority="2761" operator="equal">
      <formula>"Alta"</formula>
    </cfRule>
    <cfRule type="cellIs" dxfId="6356" priority="2760" operator="equal">
      <formula>"Muy Alta"</formula>
    </cfRule>
    <cfRule type="cellIs" dxfId="6355" priority="2764" operator="equal">
      <formula>"Muy Baja"</formula>
    </cfRule>
    <cfRule type="containsText" dxfId="6354" priority="2744" operator="containsText" text="Moderado">
      <formula>NOT(ISERROR(SEARCH("Moderado",Q742)))</formula>
    </cfRule>
    <cfRule type="containsText" dxfId="6351" priority="2742" operator="containsText" text="Leve">
      <formula>NOT(ISERROR(SEARCH("Leve",Q742)))</formula>
    </cfRule>
    <cfRule type="containsText" dxfId="6347" priority="2743" operator="containsText" text="Menor">
      <formula>NOT(ISERROR(SEARCH("Menor",Q742)))</formula>
    </cfRule>
    <cfRule type="containsText" dxfId="6344" priority="2745" operator="containsText" text="Mayor">
      <formula>NOT(ISERROR(SEARCH("Mayor",Q742)))</formula>
    </cfRule>
  </conditionalFormatting>
  <conditionalFormatting sqref="Q752">
    <cfRule type="containsText" dxfId="6343" priority="2694" operator="containsText" text="Leve">
      <formula>NOT(ISERROR(SEARCH("Leve",Q752)))</formula>
    </cfRule>
    <cfRule type="containsText" dxfId="6342" priority="2695" operator="containsText" text="Menor">
      <formula>NOT(ISERROR(SEARCH("Menor",Q752)))</formula>
    </cfRule>
    <cfRule type="cellIs" dxfId="6341" priority="2714" operator="equal">
      <formula>"Media"</formula>
    </cfRule>
    <cfRule type="cellIs" dxfId="6340" priority="2713" operator="equal">
      <formula>"Alta"</formula>
    </cfRule>
    <cfRule type="cellIs" dxfId="6339" priority="2712" operator="equal">
      <formula>"Muy Alta"</formula>
    </cfRule>
    <cfRule type="containsText" dxfId="6328" priority="2698" operator="containsText" text="Catastrófico">
      <formula>NOT(ISERROR(SEARCH("Catastrófico",Q752)))</formula>
    </cfRule>
    <cfRule type="containsText" dxfId="6327" priority="2697" operator="containsText" text="Mayor">
      <formula>NOT(ISERROR(SEARCH("Mayor",Q752)))</formula>
    </cfRule>
    <cfRule type="containsText" dxfId="6326" priority="2696" operator="containsText" text="Moderado">
      <formula>NOT(ISERROR(SEARCH("Moderado",Q752)))</formula>
    </cfRule>
    <cfRule type="cellIs" dxfId="6323" priority="2716" operator="equal">
      <formula>"Muy Baja"</formula>
    </cfRule>
    <cfRule type="cellIs" dxfId="6322" priority="2715" operator="equal">
      <formula>"Baja"</formula>
    </cfRule>
  </conditionalFormatting>
  <conditionalFormatting sqref="Q762">
    <cfRule type="containsText" dxfId="6321" priority="2647" operator="containsText" text="Menor">
      <formula>NOT(ISERROR(SEARCH("Menor",Q762)))</formula>
    </cfRule>
    <cfRule type="cellIs" dxfId="6316" priority="2667" operator="equal">
      <formula>"Baja"</formula>
    </cfRule>
    <cfRule type="containsText" dxfId="6314" priority="2649" operator="containsText" text="Mayor">
      <formula>NOT(ISERROR(SEARCH("Mayor",Q762)))</formula>
    </cfRule>
    <cfRule type="containsText" dxfId="6313" priority="2646" operator="containsText" text="Leve">
      <formula>NOT(ISERROR(SEARCH("Leve",Q762)))</formula>
    </cfRule>
    <cfRule type="cellIs" dxfId="6312" priority="2668" operator="equal">
      <formula>"Muy Baja"</formula>
    </cfRule>
    <cfRule type="containsText" dxfId="6311" priority="2648" operator="containsText" text="Moderado">
      <formula>NOT(ISERROR(SEARCH("Moderado",Q762)))</formula>
    </cfRule>
    <cfRule type="containsText" dxfId="6310" priority="2650" operator="containsText" text="Catastrófico">
      <formula>NOT(ISERROR(SEARCH("Catastrófico",Q762)))</formula>
    </cfRule>
    <cfRule type="cellIs" dxfId="6309" priority="2666" operator="equal">
      <formula>"Media"</formula>
    </cfRule>
    <cfRule type="cellIs" dxfId="6308" priority="2665" operator="equal">
      <formula>"Alta"</formula>
    </cfRule>
    <cfRule type="cellIs" dxfId="6307" priority="2664" operator="equal">
      <formula>"Muy Alta"</formula>
    </cfRule>
  </conditionalFormatting>
  <conditionalFormatting sqref="Q772">
    <cfRule type="containsText" dxfId="6296" priority="2602" operator="containsText" text="Catastrófico">
      <formula>NOT(ISERROR(SEARCH("Catastrófico",Q772)))</formula>
    </cfRule>
    <cfRule type="cellIs" dxfId="6293" priority="2617" operator="equal">
      <formula>"Alta"</formula>
    </cfRule>
    <cfRule type="cellIs" dxfId="6292" priority="2618" operator="equal">
      <formula>"Media"</formula>
    </cfRule>
    <cfRule type="cellIs" dxfId="6291" priority="2619" operator="equal">
      <formula>"Baja"</formula>
    </cfRule>
    <cfRule type="cellIs" dxfId="6290" priority="2616" operator="equal">
      <formula>"Muy Alta"</formula>
    </cfRule>
    <cfRule type="containsText" dxfId="6289" priority="2601" operator="containsText" text="Mayor">
      <formula>NOT(ISERROR(SEARCH("Mayor",Q772)))</formula>
    </cfRule>
    <cfRule type="containsText" dxfId="6284" priority="2598" operator="containsText" text="Leve">
      <formula>NOT(ISERROR(SEARCH("Leve",Q772)))</formula>
    </cfRule>
    <cfRule type="containsText" dxfId="6283" priority="2600" operator="containsText" text="Moderado">
      <formula>NOT(ISERROR(SEARCH("Moderado",Q772)))</formula>
    </cfRule>
    <cfRule type="containsText" dxfId="6282" priority="2599" operator="containsText" text="Menor">
      <formula>NOT(ISERROR(SEARCH("Menor",Q772)))</formula>
    </cfRule>
    <cfRule type="cellIs" dxfId="6279" priority="2620" operator="equal">
      <formula>"Muy Baja"</formula>
    </cfRule>
  </conditionalFormatting>
  <conditionalFormatting sqref="Q782">
    <cfRule type="containsText" dxfId="6276" priority="2554" operator="containsText" text="Catastrófico">
      <formula>NOT(ISERROR(SEARCH("Catastrófico",Q782)))</formula>
    </cfRule>
    <cfRule type="containsText" dxfId="6273" priority="2552" operator="containsText" text="Moderado">
      <formula>NOT(ISERROR(SEARCH("Moderado",Q782)))</formula>
    </cfRule>
    <cfRule type="containsText" dxfId="6268" priority="2553" operator="containsText" text="Mayor">
      <formula>NOT(ISERROR(SEARCH("Mayor",Q782)))</formula>
    </cfRule>
    <cfRule type="cellIs" dxfId="6264" priority="2569" operator="equal">
      <formula>"Alta"</formula>
    </cfRule>
    <cfRule type="cellIs" dxfId="6263" priority="2570" operator="equal">
      <formula>"Media"</formula>
    </cfRule>
    <cfRule type="cellIs" dxfId="6262" priority="2571" operator="equal">
      <formula>"Baja"</formula>
    </cfRule>
    <cfRule type="cellIs" dxfId="6261" priority="2572" operator="equal">
      <formula>"Muy Baja"</formula>
    </cfRule>
    <cfRule type="containsText" dxfId="6260" priority="2551" operator="containsText" text="Menor">
      <formula>NOT(ISERROR(SEARCH("Menor",Q782)))</formula>
    </cfRule>
    <cfRule type="containsText" dxfId="6259" priority="2550" operator="containsText" text="Leve">
      <formula>NOT(ISERROR(SEARCH("Leve",Q782)))</formula>
    </cfRule>
    <cfRule type="cellIs" dxfId="6258" priority="2568" operator="equal">
      <formula>"Muy Alta"</formula>
    </cfRule>
  </conditionalFormatting>
  <conditionalFormatting sqref="Q792">
    <cfRule type="cellIs" dxfId="6254" priority="2524" operator="equal">
      <formula>"Muy Baja"</formula>
    </cfRule>
    <cfRule type="cellIs" dxfId="6253" priority="2523" operator="equal">
      <formula>"Baja"</formula>
    </cfRule>
    <cfRule type="cellIs" dxfId="6250" priority="2522" operator="equal">
      <formula>"Media"</formula>
    </cfRule>
    <cfRule type="cellIs" dxfId="6249" priority="2521" operator="equal">
      <formula>"Alta"</formula>
    </cfRule>
    <cfRule type="cellIs" dxfId="6245" priority="2520" operator="equal">
      <formula>"Muy Alta"</formula>
    </cfRule>
    <cfRule type="containsText" dxfId="6240" priority="2506" operator="containsText" text="Catastrófico">
      <formula>NOT(ISERROR(SEARCH("Catastrófico",Q792)))</formula>
    </cfRule>
    <cfRule type="containsText" dxfId="6239" priority="2505" operator="containsText" text="Mayor">
      <formula>NOT(ISERROR(SEARCH("Mayor",Q792)))</formula>
    </cfRule>
    <cfRule type="containsText" dxfId="6238" priority="2504" operator="containsText" text="Moderado">
      <formula>NOT(ISERROR(SEARCH("Moderado",Q792)))</formula>
    </cfRule>
    <cfRule type="containsText" dxfId="6237" priority="2503" operator="containsText" text="Menor">
      <formula>NOT(ISERROR(SEARCH("Menor",Q792)))</formula>
    </cfRule>
    <cfRule type="containsText" dxfId="6235" priority="2502" operator="containsText" text="Leve">
      <formula>NOT(ISERROR(SEARCH("Leve",Q792)))</formula>
    </cfRule>
  </conditionalFormatting>
  <conditionalFormatting sqref="Q802">
    <cfRule type="cellIs" dxfId="6231" priority="2472" operator="equal">
      <formula>"Muy Alta"</formula>
    </cfRule>
    <cfRule type="cellIs" dxfId="6230" priority="2473" operator="equal">
      <formula>"Alta"</formula>
    </cfRule>
    <cfRule type="cellIs" dxfId="6229" priority="2474" operator="equal">
      <formula>"Media"</formula>
    </cfRule>
    <cfRule type="cellIs" dxfId="6228" priority="2475" operator="equal">
      <formula>"Baja"</formula>
    </cfRule>
    <cfRule type="cellIs" dxfId="6227" priority="2476" operator="equal">
      <formula>"Muy Baja"</formula>
    </cfRule>
    <cfRule type="containsText" dxfId="6223" priority="2454" operator="containsText" text="Leve">
      <formula>NOT(ISERROR(SEARCH("Leve",Q802)))</formula>
    </cfRule>
    <cfRule type="containsText" dxfId="6222" priority="2455" operator="containsText" text="Menor">
      <formula>NOT(ISERROR(SEARCH("Menor",Q802)))</formula>
    </cfRule>
    <cfRule type="containsText" dxfId="6221" priority="2456" operator="containsText" text="Moderado">
      <formula>NOT(ISERROR(SEARCH("Moderado",Q802)))</formula>
    </cfRule>
    <cfRule type="containsText" dxfId="6220" priority="2457" operator="containsText" text="Mayor">
      <formula>NOT(ISERROR(SEARCH("Mayor",Q802)))</formula>
    </cfRule>
    <cfRule type="containsText" dxfId="6219" priority="2458" operator="containsText" text="Catastrófico">
      <formula>NOT(ISERROR(SEARCH("Catastrófico",Q802)))</formula>
    </cfRule>
  </conditionalFormatting>
  <conditionalFormatting sqref="Q812">
    <cfRule type="cellIs" dxfId="6211" priority="2032" operator="equal">
      <formula>"Muy Alta"</formula>
    </cfRule>
    <cfRule type="cellIs" dxfId="6210" priority="2036" operator="equal">
      <formula>"Muy Baja"</formula>
    </cfRule>
    <cfRule type="containsText" dxfId="6202" priority="2018" operator="containsText" text="Catastrófico">
      <formula>NOT(ISERROR(SEARCH("Catastrófico",Q812)))</formula>
    </cfRule>
    <cfRule type="containsText" dxfId="6201" priority="2017" operator="containsText" text="Mayor">
      <formula>NOT(ISERROR(SEARCH("Mayor",Q812)))</formula>
    </cfRule>
    <cfRule type="containsText" dxfId="6200" priority="2016" operator="containsText" text="Moderado">
      <formula>NOT(ISERROR(SEARCH("Moderado",Q812)))</formula>
    </cfRule>
    <cfRule type="containsText" dxfId="6198" priority="2014" operator="containsText" text="Leve">
      <formula>NOT(ISERROR(SEARCH("Leve",Q812)))</formula>
    </cfRule>
    <cfRule type="containsText" dxfId="6197" priority="2015" operator="containsText" text="Menor">
      <formula>NOT(ISERROR(SEARCH("Menor",Q812)))</formula>
    </cfRule>
    <cfRule type="cellIs" dxfId="6194" priority="2033" operator="equal">
      <formula>"Alta"</formula>
    </cfRule>
    <cfRule type="cellIs" dxfId="6193" priority="2034" operator="equal">
      <formula>"Media"</formula>
    </cfRule>
    <cfRule type="cellIs" dxfId="6192" priority="2035" operator="equal">
      <formula>"Baja"</formula>
    </cfRule>
  </conditionalFormatting>
  <conditionalFormatting sqref="Q822">
    <cfRule type="containsText" dxfId="6184" priority="1969" operator="containsText" text="Mayor">
      <formula>NOT(ISERROR(SEARCH("Mayor",Q822)))</formula>
    </cfRule>
    <cfRule type="containsText" dxfId="6182" priority="1966" operator="containsText" text="Leve">
      <formula>NOT(ISERROR(SEARCH("Leve",Q822)))</formula>
    </cfRule>
    <cfRule type="containsText" dxfId="6181" priority="1967" operator="containsText" text="Menor">
      <formula>NOT(ISERROR(SEARCH("Menor",Q822)))</formula>
    </cfRule>
    <cfRule type="containsText" dxfId="6180" priority="1968" operator="containsText" text="Moderado">
      <formula>NOT(ISERROR(SEARCH("Moderado",Q822)))</formula>
    </cfRule>
    <cfRule type="containsText" dxfId="6179" priority="1970" operator="containsText" text="Catastrófico">
      <formula>NOT(ISERROR(SEARCH("Catastrófico",Q822)))</formula>
    </cfRule>
    <cfRule type="cellIs" dxfId="6176" priority="1988" operator="equal">
      <formula>"Muy Baja"</formula>
    </cfRule>
    <cfRule type="cellIs" dxfId="6175" priority="1987" operator="equal">
      <formula>"Baja"</formula>
    </cfRule>
    <cfRule type="cellIs" dxfId="6174" priority="1986" operator="equal">
      <formula>"Media"</formula>
    </cfRule>
    <cfRule type="cellIs" dxfId="6173" priority="1985" operator="equal">
      <formula>"Alta"</formula>
    </cfRule>
    <cfRule type="cellIs" dxfId="6172" priority="1984" operator="equal">
      <formula>"Muy Alta"</formula>
    </cfRule>
  </conditionalFormatting>
  <conditionalFormatting sqref="Q832">
    <cfRule type="cellIs" dxfId="6164" priority="1936" operator="equal">
      <formula>"Muy Alta"</formula>
    </cfRule>
    <cfRule type="containsText" dxfId="6163" priority="1921" operator="containsText" text="Mayor">
      <formula>NOT(ISERROR(SEARCH("Mayor",Q832)))</formula>
    </cfRule>
    <cfRule type="containsText" dxfId="6162" priority="1920" operator="containsText" text="Moderado">
      <formula>NOT(ISERROR(SEARCH("Moderado",Q832)))</formula>
    </cfRule>
    <cfRule type="cellIs" dxfId="6161" priority="1937" operator="equal">
      <formula>"Alta"</formula>
    </cfRule>
    <cfRule type="cellIs" dxfId="6160" priority="1938" operator="equal">
      <formula>"Media"</formula>
    </cfRule>
    <cfRule type="cellIs" dxfId="6159" priority="1939" operator="equal">
      <formula>"Baja"</formula>
    </cfRule>
    <cfRule type="cellIs" dxfId="6158" priority="1940" operator="equal">
      <formula>"Muy Baja"</formula>
    </cfRule>
    <cfRule type="containsText" dxfId="6154" priority="1918" operator="containsText" text="Leve">
      <formula>NOT(ISERROR(SEARCH("Leve",Q832)))</formula>
    </cfRule>
    <cfRule type="containsText" dxfId="6152" priority="1919" operator="containsText" text="Menor">
      <formula>NOT(ISERROR(SEARCH("Menor",Q832)))</formula>
    </cfRule>
    <cfRule type="containsText" dxfId="6147" priority="1922" operator="containsText" text="Catastrófico">
      <formula>NOT(ISERROR(SEARCH("Catastrófico",Q832)))</formula>
    </cfRule>
  </conditionalFormatting>
  <conditionalFormatting sqref="Q842">
    <cfRule type="containsText" dxfId="6145" priority="1873" operator="containsText" text="Mayor">
      <formula>NOT(ISERROR(SEARCH("Mayor",Q842)))</formula>
    </cfRule>
    <cfRule type="containsText" dxfId="6144" priority="1872" operator="containsText" text="Moderado">
      <formula>NOT(ISERROR(SEARCH("Moderado",Q842)))</formula>
    </cfRule>
    <cfRule type="cellIs" dxfId="6137" priority="1888" operator="equal">
      <formula>"Muy Alta"</formula>
    </cfRule>
    <cfRule type="cellIs" dxfId="6136" priority="1889" operator="equal">
      <formula>"Alta"</formula>
    </cfRule>
    <cfRule type="cellIs" dxfId="6135" priority="1890" operator="equal">
      <formula>"Media"</formula>
    </cfRule>
    <cfRule type="cellIs" dxfId="6134" priority="1892" operator="equal">
      <formula>"Muy Baja"</formula>
    </cfRule>
    <cfRule type="cellIs" dxfId="6133" priority="1891" operator="equal">
      <formula>"Baja"</formula>
    </cfRule>
    <cfRule type="containsText" dxfId="6131" priority="1871" operator="containsText" text="Menor">
      <formula>NOT(ISERROR(SEARCH("Menor",Q842)))</formula>
    </cfRule>
    <cfRule type="containsText" dxfId="6130" priority="1874" operator="containsText" text="Catastrófico">
      <formula>NOT(ISERROR(SEARCH("Catastrófico",Q842)))</formula>
    </cfRule>
    <cfRule type="containsText" dxfId="6126" priority="1870" operator="containsText" text="Leve">
      <formula>NOT(ISERROR(SEARCH("Leve",Q842)))</formula>
    </cfRule>
  </conditionalFormatting>
  <conditionalFormatting sqref="Q852">
    <cfRule type="containsText" dxfId="6123" priority="1826" operator="containsText" text="Catastrófico">
      <formula>NOT(ISERROR(SEARCH("Catastrófico",Q852)))</formula>
    </cfRule>
    <cfRule type="cellIs" dxfId="6112" priority="1840" operator="equal">
      <formula>"Muy Alta"</formula>
    </cfRule>
    <cfRule type="cellIs" dxfId="6110" priority="1841" operator="equal">
      <formula>"Alta"</formula>
    </cfRule>
    <cfRule type="cellIs" dxfId="6109" priority="1842" operator="equal">
      <formula>"Media"</formula>
    </cfRule>
    <cfRule type="cellIs" dxfId="6108" priority="1843" operator="equal">
      <formula>"Baja"</formula>
    </cfRule>
    <cfRule type="cellIs" dxfId="6107" priority="1844" operator="equal">
      <formula>"Muy Baja"</formula>
    </cfRule>
    <cfRule type="containsText" dxfId="6105" priority="1822" operator="containsText" text="Leve">
      <formula>NOT(ISERROR(SEARCH("Leve",Q852)))</formula>
    </cfRule>
    <cfRule type="containsText" dxfId="6104" priority="1823" operator="containsText" text="Menor">
      <formula>NOT(ISERROR(SEARCH("Menor",Q852)))</formula>
    </cfRule>
    <cfRule type="containsText" dxfId="6103" priority="1824" operator="containsText" text="Moderado">
      <formula>NOT(ISERROR(SEARCH("Moderado",Q852)))</formula>
    </cfRule>
    <cfRule type="containsText" dxfId="6102" priority="1825" operator="containsText" text="Mayor">
      <formula>NOT(ISERROR(SEARCH("Mayor",Q852)))</formula>
    </cfRule>
  </conditionalFormatting>
  <conditionalFormatting sqref="Q862">
    <cfRule type="cellIs" dxfId="6101" priority="1795" operator="equal">
      <formula>"Baja"</formula>
    </cfRule>
    <cfRule type="cellIs" dxfId="6100" priority="1796" operator="equal">
      <formula>"Muy Baja"</formula>
    </cfRule>
    <cfRule type="cellIs" dxfId="6098" priority="1794" operator="equal">
      <formula>"Media"</formula>
    </cfRule>
    <cfRule type="cellIs" dxfId="6097" priority="1793" operator="equal">
      <formula>"Alta"</formula>
    </cfRule>
    <cfRule type="cellIs" dxfId="6096" priority="1792" operator="equal">
      <formula>"Muy Alta"</formula>
    </cfRule>
    <cfRule type="containsText" dxfId="6089" priority="1774" operator="containsText" text="Leve">
      <formula>NOT(ISERROR(SEARCH("Leve",Q862)))</formula>
    </cfRule>
    <cfRule type="containsText" dxfId="6088" priority="1775" operator="containsText" text="Menor">
      <formula>NOT(ISERROR(SEARCH("Menor",Q862)))</formula>
    </cfRule>
    <cfRule type="containsText" dxfId="6087" priority="1776" operator="containsText" text="Moderado">
      <formula>NOT(ISERROR(SEARCH("Moderado",Q862)))</formula>
    </cfRule>
    <cfRule type="containsText" dxfId="6081" priority="1777" operator="containsText" text="Mayor">
      <formula>NOT(ISERROR(SEARCH("Mayor",Q862)))</formula>
    </cfRule>
    <cfRule type="containsText" dxfId="6080" priority="1778" operator="containsText" text="Catastrófico">
      <formula>NOT(ISERROR(SEARCH("Catastrófico",Q862)))</formula>
    </cfRule>
  </conditionalFormatting>
  <conditionalFormatting sqref="Q872">
    <cfRule type="cellIs" dxfId="6079" priority="1746" operator="equal">
      <formula>"Media"</formula>
    </cfRule>
    <cfRule type="cellIs" dxfId="6077" priority="1748" operator="equal">
      <formula>"Muy Baja"</formula>
    </cfRule>
    <cfRule type="containsText" dxfId="6076" priority="1730" operator="containsText" text="Catastrófico">
      <formula>NOT(ISERROR(SEARCH("Catastrófico",Q872)))</formula>
    </cfRule>
    <cfRule type="containsText" dxfId="6075" priority="1729" operator="containsText" text="Mayor">
      <formula>NOT(ISERROR(SEARCH("Mayor",Q872)))</formula>
    </cfRule>
    <cfRule type="containsText" dxfId="6074" priority="1728" operator="containsText" text="Moderado">
      <formula>NOT(ISERROR(SEARCH("Moderado",Q872)))</formula>
    </cfRule>
    <cfRule type="containsText" dxfId="6073" priority="1727" operator="containsText" text="Menor">
      <formula>NOT(ISERROR(SEARCH("Menor",Q872)))</formula>
    </cfRule>
    <cfRule type="containsText" dxfId="6072" priority="1726" operator="containsText" text="Leve">
      <formula>NOT(ISERROR(SEARCH("Leve",Q872)))</formula>
    </cfRule>
    <cfRule type="cellIs" dxfId="6069" priority="1747" operator="equal">
      <formula>"Baja"</formula>
    </cfRule>
    <cfRule type="cellIs" dxfId="6061" priority="1744" operator="equal">
      <formula>"Muy Alta"</formula>
    </cfRule>
    <cfRule type="cellIs" dxfId="6060" priority="1745" operator="equal">
      <formula>"Alta"</formula>
    </cfRule>
  </conditionalFormatting>
  <conditionalFormatting sqref="Q882">
    <cfRule type="cellIs" dxfId="6056" priority="1373" operator="equal">
      <formula>"Alta"</formula>
    </cfRule>
    <cfRule type="cellIs" dxfId="6047" priority="1374" operator="equal">
      <formula>"Media"</formula>
    </cfRule>
    <cfRule type="cellIs" dxfId="6046" priority="1375" operator="equal">
      <formula>"Baja"</formula>
    </cfRule>
    <cfRule type="containsText" dxfId="6045" priority="1358" operator="containsText" text="Catastrófico">
      <formula>NOT(ISERROR(SEARCH("Catastrófico",Q882)))</formula>
    </cfRule>
    <cfRule type="containsText" dxfId="6043" priority="1357" operator="containsText" text="Mayor">
      <formula>NOT(ISERROR(SEARCH("Mayor",Q882)))</formula>
    </cfRule>
    <cfRule type="cellIs" dxfId="6042" priority="1372" operator="equal">
      <formula>"Muy Alta"</formula>
    </cfRule>
    <cfRule type="containsText" dxfId="6041" priority="1354" operator="containsText" text="Leve">
      <formula>NOT(ISERROR(SEARCH("Leve",Q882)))</formula>
    </cfRule>
    <cfRule type="containsText" dxfId="6040" priority="1355" operator="containsText" text="Menor">
      <formula>NOT(ISERROR(SEARCH("Menor",Q882)))</formula>
    </cfRule>
    <cfRule type="containsText" dxfId="6038" priority="1356" operator="containsText" text="Moderado">
      <formula>NOT(ISERROR(SEARCH("Moderado",Q882)))</formula>
    </cfRule>
    <cfRule type="cellIs" dxfId="6036" priority="1376" operator="equal">
      <formula>"Muy Baja"</formula>
    </cfRule>
  </conditionalFormatting>
  <conditionalFormatting sqref="Q892">
    <cfRule type="containsText" dxfId="6035" priority="1306" operator="containsText" text="Leve">
      <formula>NOT(ISERROR(SEARCH("Leve",Q892)))</formula>
    </cfRule>
    <cfRule type="containsText" dxfId="6034" priority="1307" operator="containsText" text="Menor">
      <formula>NOT(ISERROR(SEARCH("Menor",Q892)))</formula>
    </cfRule>
    <cfRule type="cellIs" dxfId="6033" priority="1328" operator="equal">
      <formula>"Muy Baja"</formula>
    </cfRule>
    <cfRule type="cellIs" dxfId="6032" priority="1327" operator="equal">
      <formula>"Baja"</formula>
    </cfRule>
    <cfRule type="cellIs" dxfId="6031" priority="1326" operator="equal">
      <formula>"Media"</formula>
    </cfRule>
    <cfRule type="cellIs" dxfId="6030" priority="1325" operator="equal">
      <formula>"Alta"</formula>
    </cfRule>
    <cfRule type="cellIs" dxfId="6029" priority="1324" operator="equal">
      <formula>"Muy Alta"</formula>
    </cfRule>
    <cfRule type="containsText" dxfId="6023" priority="1308" operator="containsText" text="Moderado">
      <formula>NOT(ISERROR(SEARCH("Moderado",Q892)))</formula>
    </cfRule>
    <cfRule type="containsText" dxfId="6022" priority="1309" operator="containsText" text="Mayor">
      <formula>NOT(ISERROR(SEARCH("Mayor",Q892)))</formula>
    </cfRule>
    <cfRule type="containsText" dxfId="6018" priority="1310" operator="containsText" text="Catastrófico">
      <formula>NOT(ISERROR(SEARCH("Catastrófico",Q892)))</formula>
    </cfRule>
  </conditionalFormatting>
  <conditionalFormatting sqref="Q902">
    <cfRule type="containsText" dxfId="6012" priority="1261" operator="containsText" text="Mayor">
      <formula>NOT(ISERROR(SEARCH("Mayor",Q902)))</formula>
    </cfRule>
    <cfRule type="containsText" dxfId="6011" priority="1262" operator="containsText" text="Catastrófico">
      <formula>NOT(ISERROR(SEARCH("Catastrófico",Q902)))</formula>
    </cfRule>
    <cfRule type="containsText" dxfId="6010" priority="1260" operator="containsText" text="Moderado">
      <formula>NOT(ISERROR(SEARCH("Moderado",Q902)))</formula>
    </cfRule>
    <cfRule type="cellIs" dxfId="6009" priority="1277" operator="equal">
      <formula>"Alta"</formula>
    </cfRule>
    <cfRule type="containsText" dxfId="6007" priority="1259" operator="containsText" text="Menor">
      <formula>NOT(ISERROR(SEARCH("Menor",Q902)))</formula>
    </cfRule>
    <cfRule type="containsText" dxfId="6006" priority="1258" operator="containsText" text="Leve">
      <formula>NOT(ISERROR(SEARCH("Leve",Q902)))</formula>
    </cfRule>
    <cfRule type="cellIs" dxfId="6002" priority="1280" operator="equal">
      <formula>"Muy Baja"</formula>
    </cfRule>
    <cfRule type="cellIs" dxfId="6001" priority="1279" operator="equal">
      <formula>"Baja"</formula>
    </cfRule>
    <cfRule type="cellIs" dxfId="6000" priority="1278" operator="equal">
      <formula>"Media"</formula>
    </cfRule>
    <cfRule type="cellIs" dxfId="5999" priority="1276" operator="equal">
      <formula>"Muy Alta"</formula>
    </cfRule>
  </conditionalFormatting>
  <conditionalFormatting sqref="Q912">
    <cfRule type="cellIs" dxfId="5990" priority="1231" operator="equal">
      <formula>"Baja"</formula>
    </cfRule>
    <cfRule type="cellIs" dxfId="5988" priority="1230" operator="equal">
      <formula>"Media"</formula>
    </cfRule>
    <cfRule type="cellIs" dxfId="5987" priority="1229" operator="equal">
      <formula>"Alta"</formula>
    </cfRule>
    <cfRule type="cellIs" dxfId="5986" priority="1232" operator="equal">
      <formula>"Muy Baja"</formula>
    </cfRule>
    <cfRule type="cellIs" dxfId="5985" priority="1228" operator="equal">
      <formula>"Muy Alta"</formula>
    </cfRule>
    <cfRule type="containsText" dxfId="5975" priority="1214" operator="containsText" text="Catastrófico">
      <formula>NOT(ISERROR(SEARCH("Catastrófico",Q912)))</formula>
    </cfRule>
    <cfRule type="containsText" dxfId="5973" priority="1213" operator="containsText" text="Mayor">
      <formula>NOT(ISERROR(SEARCH("Mayor",Q912)))</formula>
    </cfRule>
    <cfRule type="containsText" dxfId="5972" priority="1212" operator="containsText" text="Moderado">
      <formula>NOT(ISERROR(SEARCH("Moderado",Q912)))</formula>
    </cfRule>
    <cfRule type="containsText" dxfId="5971" priority="1211" operator="containsText" text="Menor">
      <formula>NOT(ISERROR(SEARCH("Menor",Q912)))</formula>
    </cfRule>
    <cfRule type="containsText" dxfId="5970" priority="1210" operator="containsText" text="Leve">
      <formula>NOT(ISERROR(SEARCH("Leve",Q912)))</formula>
    </cfRule>
  </conditionalFormatting>
  <conditionalFormatting sqref="Q922">
    <cfRule type="containsText" dxfId="5969" priority="1163" operator="containsText" text="Menor">
      <formula>NOT(ISERROR(SEARCH("Menor",Q922)))</formula>
    </cfRule>
    <cfRule type="containsText" dxfId="5968" priority="1162" operator="containsText" text="Leve">
      <formula>NOT(ISERROR(SEARCH("Leve",Q922)))</formula>
    </cfRule>
    <cfRule type="cellIs" dxfId="5967" priority="1182" operator="equal">
      <formula>"Media"</formula>
    </cfRule>
    <cfRule type="cellIs" dxfId="5966" priority="1184" operator="equal">
      <formula>"Muy Baja"</formula>
    </cfRule>
    <cfRule type="cellIs" dxfId="5965" priority="1183" operator="equal">
      <formula>"Baja"</formula>
    </cfRule>
    <cfRule type="cellIs" dxfId="5964" priority="1181" operator="equal">
      <formula>"Alta"</formula>
    </cfRule>
    <cfRule type="cellIs" dxfId="5963" priority="1180" operator="equal">
      <formula>"Muy Alta"</formula>
    </cfRule>
    <cfRule type="containsText" dxfId="5950" priority="1166" operator="containsText" text="Catastrófico">
      <formula>NOT(ISERROR(SEARCH("Catastrófico",Q922)))</formula>
    </cfRule>
    <cfRule type="containsText" dxfId="5949" priority="1165" operator="containsText" text="Mayor">
      <formula>NOT(ISERROR(SEARCH("Mayor",Q922)))</formula>
    </cfRule>
    <cfRule type="containsText" dxfId="5948" priority="1164" operator="containsText" text="Moderado">
      <formula>NOT(ISERROR(SEARCH("Moderado",Q922)))</formula>
    </cfRule>
  </conditionalFormatting>
  <conditionalFormatting sqref="Q932">
    <cfRule type="cellIs" dxfId="5947" priority="1133" operator="equal">
      <formula>"Alta"</formula>
    </cfRule>
    <cfRule type="cellIs" dxfId="5944" priority="1132" operator="equal">
      <formula>"Muy Alta"</formula>
    </cfRule>
    <cfRule type="containsText" dxfId="5943" priority="1114" operator="containsText" text="Leve">
      <formula>NOT(ISERROR(SEARCH("Leve",Q932)))</formula>
    </cfRule>
    <cfRule type="containsText" dxfId="5942" priority="1115" operator="containsText" text="Menor">
      <formula>NOT(ISERROR(SEARCH("Menor",Q932)))</formula>
    </cfRule>
    <cfRule type="containsText" dxfId="5941" priority="1116" operator="containsText" text="Moderado">
      <formula>NOT(ISERROR(SEARCH("Moderado",Q932)))</formula>
    </cfRule>
    <cfRule type="containsText" dxfId="5940" priority="1117" operator="containsText" text="Mayor">
      <formula>NOT(ISERROR(SEARCH("Mayor",Q932)))</formula>
    </cfRule>
    <cfRule type="containsText" dxfId="5937" priority="1118" operator="containsText" text="Catastrófico">
      <formula>NOT(ISERROR(SEARCH("Catastrófico",Q932)))</formula>
    </cfRule>
    <cfRule type="cellIs" dxfId="5936" priority="1135" operator="equal">
      <formula>"Baja"</formula>
    </cfRule>
    <cfRule type="cellIs" dxfId="5935" priority="1136" operator="equal">
      <formula>"Muy Baja"</formula>
    </cfRule>
    <cfRule type="cellIs" dxfId="5928" priority="1134" operator="equal">
      <formula>"Media"</formula>
    </cfRule>
  </conditionalFormatting>
  <conditionalFormatting sqref="Q942">
    <cfRule type="containsText" dxfId="5925" priority="880" operator="containsText" text="Menor">
      <formula>NOT(ISERROR(SEARCH("Menor",Q942)))</formula>
    </cfRule>
    <cfRule type="containsText" dxfId="5924" priority="879" operator="containsText" text="Leve">
      <formula>NOT(ISERROR(SEARCH("Leve",Q942)))</formula>
    </cfRule>
    <cfRule type="cellIs" dxfId="5922" priority="901" operator="equal">
      <formula>"Muy Baja"</formula>
    </cfRule>
    <cfRule type="cellIs" dxfId="5921" priority="900" operator="equal">
      <formula>"Baja"</formula>
    </cfRule>
    <cfRule type="cellIs" dxfId="5920" priority="899" operator="equal">
      <formula>"Media"</formula>
    </cfRule>
    <cfRule type="cellIs" dxfId="5919" priority="898" operator="equal">
      <formula>"Alta"</formula>
    </cfRule>
    <cfRule type="cellIs" dxfId="5918" priority="897" operator="equal">
      <formula>"Muy Alta"</formula>
    </cfRule>
    <cfRule type="containsText" dxfId="5907" priority="883" operator="containsText" text="Catastrófico">
      <formula>NOT(ISERROR(SEARCH("Catastrófico",Q942)))</formula>
    </cfRule>
    <cfRule type="containsText" dxfId="5906" priority="882" operator="containsText" text="Mayor">
      <formula>NOT(ISERROR(SEARCH("Mayor",Q942)))</formula>
    </cfRule>
    <cfRule type="containsText" dxfId="5904" priority="881" operator="containsText" text="Moderado">
      <formula>NOT(ISERROR(SEARCH("Moderado",Q942)))</formula>
    </cfRule>
  </conditionalFormatting>
  <conditionalFormatting sqref="Q952">
    <cfRule type="containsText" dxfId="5901" priority="797" operator="containsText" text="Menor">
      <formula>NOT(ISERROR(SEARCH("Menor",Q952)))</formula>
    </cfRule>
    <cfRule type="containsText" dxfId="5900" priority="798" operator="containsText" text="Moderado">
      <formula>NOT(ISERROR(SEARCH("Moderado",Q952)))</formula>
    </cfRule>
    <cfRule type="containsText" dxfId="5899" priority="799" operator="containsText" text="Mayor">
      <formula>NOT(ISERROR(SEARCH("Mayor",Q952)))</formula>
    </cfRule>
    <cfRule type="containsText" dxfId="5898" priority="800" operator="containsText" text="Catastrófico">
      <formula>NOT(ISERROR(SEARCH("Catastrófico",Q952)))</formula>
    </cfRule>
    <cfRule type="cellIs" dxfId="5895" priority="818" operator="equal">
      <formula>"Muy Baja"</formula>
    </cfRule>
    <cfRule type="cellIs" dxfId="5894" priority="816" operator="equal">
      <formula>"Media"</formula>
    </cfRule>
    <cfRule type="cellIs" dxfId="5893" priority="815" operator="equal">
      <formula>"Alta"</formula>
    </cfRule>
    <cfRule type="cellIs" dxfId="5892" priority="814" operator="equal">
      <formula>"Muy Alta"</formula>
    </cfRule>
    <cfRule type="containsText" dxfId="5887" priority="796" operator="containsText" text="Leve">
      <formula>NOT(ISERROR(SEARCH("Leve",Q952)))</formula>
    </cfRule>
    <cfRule type="cellIs" dxfId="5885" priority="817" operator="equal">
      <formula>"Baja"</formula>
    </cfRule>
  </conditionalFormatting>
  <conditionalFormatting sqref="Q962">
    <cfRule type="containsText" dxfId="5880" priority="646" operator="containsText" text="Catastrófico">
      <formula>NOT(ISERROR(SEARCH("Catastrófico",Q962)))</formula>
    </cfRule>
    <cfRule type="cellIs" dxfId="5870" priority="660" operator="equal">
      <formula>"Muy Alta"</formula>
    </cfRule>
    <cfRule type="cellIs" dxfId="5867" priority="661" operator="equal">
      <formula>"Alta"</formula>
    </cfRule>
    <cfRule type="cellIs" dxfId="5866" priority="662" operator="equal">
      <formula>"Media"</formula>
    </cfRule>
    <cfRule type="cellIs" dxfId="5865" priority="664" operator="equal">
      <formula>"Muy Baja"</formula>
    </cfRule>
    <cfRule type="containsText" dxfId="5864" priority="642" operator="containsText" text="Leve">
      <formula>NOT(ISERROR(SEARCH("Leve",Q962)))</formula>
    </cfRule>
    <cfRule type="containsText" dxfId="5863" priority="643" operator="containsText" text="Menor">
      <formula>NOT(ISERROR(SEARCH("Menor",Q962)))</formula>
    </cfRule>
    <cfRule type="containsText" dxfId="5862" priority="644" operator="containsText" text="Moderado">
      <formula>NOT(ISERROR(SEARCH("Moderado",Q962)))</formula>
    </cfRule>
    <cfRule type="containsText" dxfId="5861" priority="645" operator="containsText" text="Mayor">
      <formula>NOT(ISERROR(SEARCH("Mayor",Q962)))</formula>
    </cfRule>
    <cfRule type="cellIs" dxfId="5860" priority="663" operator="equal">
      <formula>"Baja"</formula>
    </cfRule>
  </conditionalFormatting>
  <conditionalFormatting sqref="Q972">
    <cfRule type="cellIs" dxfId="5859" priority="520" operator="equal">
      <formula>"Muy Baja"</formula>
    </cfRule>
    <cfRule type="cellIs" dxfId="5858" priority="519" operator="equal">
      <formula>"Baja"</formula>
    </cfRule>
    <cfRule type="cellIs" dxfId="5857" priority="518" operator="equal">
      <formula>"Media"</formula>
    </cfRule>
    <cfRule type="cellIs" dxfId="5856" priority="517" operator="equal">
      <formula>"Alta"</formula>
    </cfRule>
    <cfRule type="cellIs" dxfId="5855" priority="516" operator="equal">
      <formula>"Muy Alta"</formula>
    </cfRule>
    <cfRule type="containsText" dxfId="5844" priority="498" operator="containsText" text="Leve">
      <formula>NOT(ISERROR(SEARCH("Leve",Q972)))</formula>
    </cfRule>
    <cfRule type="containsText" dxfId="5843" priority="499" operator="containsText" text="Menor">
      <formula>NOT(ISERROR(SEARCH("Menor",Q972)))</formula>
    </cfRule>
    <cfRule type="containsText" dxfId="5841" priority="500" operator="containsText" text="Moderado">
      <formula>NOT(ISERROR(SEARCH("Moderado",Q972)))</formula>
    </cfRule>
    <cfRule type="containsText" dxfId="5840" priority="502" operator="containsText" text="Catastrófico">
      <formula>NOT(ISERROR(SEARCH("Catastrófico",Q972)))</formula>
    </cfRule>
    <cfRule type="containsText" dxfId="5838" priority="501" operator="containsText" text="Mayor">
      <formula>NOT(ISERROR(SEARCH("Mayor",Q972)))</formula>
    </cfRule>
  </conditionalFormatting>
  <conditionalFormatting sqref="Q982">
    <cfRule type="containsText" dxfId="5837" priority="450" operator="containsText" text="Leve">
      <formula>NOT(ISERROR(SEARCH("Leve",Q982)))</formula>
    </cfRule>
    <cfRule type="containsText" dxfId="5829" priority="451" operator="containsText" text="Menor">
      <formula>NOT(ISERROR(SEARCH("Menor",Q982)))</formula>
    </cfRule>
    <cfRule type="cellIs" dxfId="5828" priority="471" operator="equal">
      <formula>"Baja"</formula>
    </cfRule>
    <cfRule type="cellIs" dxfId="5827" priority="472" operator="equal">
      <formula>"Muy Baja"</formula>
    </cfRule>
    <cfRule type="cellIs" dxfId="5824" priority="469" operator="equal">
      <formula>"Alta"</formula>
    </cfRule>
    <cfRule type="containsText" dxfId="5822" priority="454" operator="containsText" text="Catastrófico">
      <formula>NOT(ISERROR(SEARCH("Catastrófico",Q982)))</formula>
    </cfRule>
    <cfRule type="cellIs" dxfId="5821" priority="470" operator="equal">
      <formula>"Media"</formula>
    </cfRule>
    <cfRule type="cellIs" dxfId="5820" priority="468" operator="equal">
      <formula>"Muy Alta"</formula>
    </cfRule>
    <cfRule type="containsText" dxfId="5818" priority="453" operator="containsText" text="Mayor">
      <formula>NOT(ISERROR(SEARCH("Mayor",Q982)))</formula>
    </cfRule>
    <cfRule type="containsText" dxfId="5817" priority="452" operator="containsText" text="Moderado">
      <formula>NOT(ISERROR(SEARCH("Moderado",Q982)))</formula>
    </cfRule>
  </conditionalFormatting>
  <conditionalFormatting sqref="Q992">
    <cfRule type="containsText" dxfId="5811" priority="406" operator="containsText" text="Catastrófico">
      <formula>NOT(ISERROR(SEARCH("Catastrófico",Q992)))</formula>
    </cfRule>
    <cfRule type="cellIs" dxfId="5805" priority="420" operator="equal">
      <formula>"Muy Alta"</formula>
    </cfRule>
    <cfRule type="cellIs" dxfId="5804" priority="421" operator="equal">
      <formula>"Alta"</formula>
    </cfRule>
    <cfRule type="cellIs" dxfId="5803" priority="422" operator="equal">
      <formula>"Media"</formula>
    </cfRule>
    <cfRule type="cellIs" dxfId="5802" priority="423" operator="equal">
      <formula>"Baja"</formula>
    </cfRule>
    <cfRule type="cellIs" dxfId="5801" priority="424" operator="equal">
      <formula>"Muy Baja"</formula>
    </cfRule>
    <cfRule type="containsText" dxfId="5800" priority="402" operator="containsText" text="Leve">
      <formula>NOT(ISERROR(SEARCH("Leve",Q992)))</formula>
    </cfRule>
    <cfRule type="containsText" dxfId="5799" priority="403" operator="containsText" text="Menor">
      <formula>NOT(ISERROR(SEARCH("Menor",Q992)))</formula>
    </cfRule>
    <cfRule type="containsText" dxfId="5798" priority="404" operator="containsText" text="Moderado">
      <formula>NOT(ISERROR(SEARCH("Moderado",Q992)))</formula>
    </cfRule>
    <cfRule type="containsText" dxfId="5797" priority="405" operator="containsText" text="Mayor">
      <formula>NOT(ISERROR(SEARCH("Mayor",Q992)))</formula>
    </cfRule>
  </conditionalFormatting>
  <conditionalFormatting sqref="Q1002">
    <cfRule type="containsText" dxfId="5792" priority="219" operator="containsText" text="Menor">
      <formula>NOT(ISERROR(SEARCH("Menor",Q1002)))</formula>
    </cfRule>
    <cfRule type="containsText" dxfId="5789" priority="218" operator="containsText" text="Leve">
      <formula>NOT(ISERROR(SEARCH("Leve",Q1002)))</formula>
    </cfRule>
    <cfRule type="containsText" dxfId="5787" priority="220" operator="containsText" text="Moderado">
      <formula>NOT(ISERROR(SEARCH("Moderado",Q1002)))</formula>
    </cfRule>
    <cfRule type="cellIs" dxfId="5786" priority="239" operator="equal">
      <formula>"Baja"</formula>
    </cfRule>
    <cfRule type="cellIs" dxfId="5783" priority="236" operator="equal">
      <formula>"Muy Alta"</formula>
    </cfRule>
    <cfRule type="containsText" dxfId="5782" priority="221" operator="containsText" text="Mayor">
      <formula>NOT(ISERROR(SEARCH("Mayor",Q1002)))</formula>
    </cfRule>
    <cfRule type="cellIs" dxfId="5781" priority="237" operator="equal">
      <formula>"Alta"</formula>
    </cfRule>
    <cfRule type="cellIs" dxfId="5780" priority="238" operator="equal">
      <formula>"Media"</formula>
    </cfRule>
    <cfRule type="cellIs" dxfId="5779" priority="240" operator="equal">
      <formula>"Muy Baja"</formula>
    </cfRule>
    <cfRule type="containsText" dxfId="5777" priority="222" operator="containsText" text="Catastrófico">
      <formula>NOT(ISERROR(SEARCH("Catastrófico",Q1002)))</formula>
    </cfRule>
  </conditionalFormatting>
  <conditionalFormatting sqref="Q1012">
    <cfRule type="containsText" dxfId="5771" priority="174" operator="containsText" text="Catastrófico">
      <formula>NOT(ISERROR(SEARCH("Catastrófico",Q1012)))</formula>
    </cfRule>
    <cfRule type="cellIs" dxfId="5769" priority="190" operator="equal">
      <formula>"Media"</formula>
    </cfRule>
    <cfRule type="cellIs" dxfId="5768" priority="192" operator="equal">
      <formula>"Muy Baja"</formula>
    </cfRule>
    <cfRule type="containsText" dxfId="5765" priority="173" operator="containsText" text="Mayor">
      <formula>NOT(ISERROR(SEARCH("Mayor",Q1012)))</formula>
    </cfRule>
    <cfRule type="cellIs" dxfId="5764" priority="191" operator="equal">
      <formula>"Baja"</formula>
    </cfRule>
    <cfRule type="cellIs" dxfId="5760" priority="188" operator="equal">
      <formula>"Muy Alta"</formula>
    </cfRule>
    <cfRule type="cellIs" dxfId="5759" priority="189" operator="equal">
      <formula>"Alta"</formula>
    </cfRule>
    <cfRule type="containsText" dxfId="5757" priority="170" operator="containsText" text="Leve">
      <formula>NOT(ISERROR(SEARCH("Leve",Q1012)))</formula>
    </cfRule>
    <cfRule type="containsText" dxfId="5756" priority="171" operator="containsText" text="Menor">
      <formula>NOT(ISERROR(SEARCH("Menor",Q1012)))</formula>
    </cfRule>
    <cfRule type="containsText" dxfId="5755" priority="172" operator="containsText" text="Moderado">
      <formula>NOT(ISERROR(SEARCH("Moderado",Q1012)))</formula>
    </cfRule>
  </conditionalFormatting>
  <conditionalFormatting sqref="R12">
    <cfRule type="cellIs" dxfId="5749" priority="10163" operator="equal">
      <formula>"Baja"</formula>
    </cfRule>
    <cfRule type="cellIs" dxfId="5748" priority="10164" operator="equal">
      <formula>"Muy Baja"</formula>
    </cfRule>
  </conditionalFormatting>
  <conditionalFormatting sqref="R22">
    <cfRule type="cellIs" dxfId="5747" priority="10081" operator="equal">
      <formula>"Muy Baja"</formula>
    </cfRule>
    <cfRule type="cellIs" dxfId="5746" priority="10080" operator="equal">
      <formula>"Baja"</formula>
    </cfRule>
  </conditionalFormatting>
  <conditionalFormatting sqref="R32">
    <cfRule type="cellIs" dxfId="5745" priority="9944" operator="equal">
      <formula>"Muy Baja"</formula>
    </cfRule>
    <cfRule type="cellIs" dxfId="5744" priority="9943" operator="equal">
      <formula>"Baja"</formula>
    </cfRule>
  </conditionalFormatting>
  <conditionalFormatting sqref="R42">
    <cfRule type="cellIs" dxfId="5743" priority="9828" operator="equal">
      <formula>"Baja"</formula>
    </cfRule>
    <cfRule type="cellIs" dxfId="5742" priority="9829" operator="equal">
      <formula>"Muy Baja"</formula>
    </cfRule>
  </conditionalFormatting>
  <conditionalFormatting sqref="R52">
    <cfRule type="cellIs" dxfId="5741" priority="9781" operator="equal">
      <formula>"Muy Baja"</formula>
    </cfRule>
    <cfRule type="cellIs" dxfId="5740" priority="9780" operator="equal">
      <formula>"Baja"</formula>
    </cfRule>
  </conditionalFormatting>
  <conditionalFormatting sqref="R62">
    <cfRule type="cellIs" dxfId="5739" priority="9732" operator="equal">
      <formula>"Baja"</formula>
    </cfRule>
    <cfRule type="cellIs" dxfId="5738" priority="9733" operator="equal">
      <formula>"Muy Baja"</formula>
    </cfRule>
  </conditionalFormatting>
  <conditionalFormatting sqref="R72">
    <cfRule type="cellIs" dxfId="5737" priority="9546" operator="equal">
      <formula>"Muy Baja"</formula>
    </cfRule>
    <cfRule type="cellIs" dxfId="5736" priority="9545" operator="equal">
      <formula>"Baja"</formula>
    </cfRule>
  </conditionalFormatting>
  <conditionalFormatting sqref="R82">
    <cfRule type="cellIs" dxfId="5735" priority="9415" operator="equal">
      <formula>"Muy Baja"</formula>
    </cfRule>
    <cfRule type="cellIs" dxfId="5734" priority="9414" operator="equal">
      <formula>"Baja"</formula>
    </cfRule>
  </conditionalFormatting>
  <conditionalFormatting sqref="R92">
    <cfRule type="cellIs" dxfId="5733" priority="9367" operator="equal">
      <formula>"Muy Baja"</formula>
    </cfRule>
    <cfRule type="cellIs" dxfId="5732" priority="9366" operator="equal">
      <formula>"Baja"</formula>
    </cfRule>
  </conditionalFormatting>
  <conditionalFormatting sqref="R102">
    <cfRule type="cellIs" dxfId="5731" priority="9318" operator="equal">
      <formula>"Baja"</formula>
    </cfRule>
    <cfRule type="cellIs" dxfId="5730" priority="9319" operator="equal">
      <formula>"Muy Baja"</formula>
    </cfRule>
  </conditionalFormatting>
  <conditionalFormatting sqref="R112">
    <cfRule type="cellIs" dxfId="5729" priority="9270" operator="equal">
      <formula>"Baja"</formula>
    </cfRule>
    <cfRule type="cellIs" dxfId="5728" priority="9271" operator="equal">
      <formula>"Muy Baja"</formula>
    </cfRule>
  </conditionalFormatting>
  <conditionalFormatting sqref="R122">
    <cfRule type="cellIs" dxfId="5727" priority="9054" operator="equal">
      <formula>"Muy Baja"</formula>
    </cfRule>
    <cfRule type="cellIs" dxfId="5726" priority="9053" operator="equal">
      <formula>"Baja"</formula>
    </cfRule>
  </conditionalFormatting>
  <conditionalFormatting sqref="R132">
    <cfRule type="cellIs" dxfId="5725" priority="8955" operator="equal">
      <formula>"Muy Baja"</formula>
    </cfRule>
    <cfRule type="cellIs" dxfId="5724" priority="8954" operator="equal">
      <formula>"Baja"</formula>
    </cfRule>
  </conditionalFormatting>
  <conditionalFormatting sqref="R142">
    <cfRule type="cellIs" dxfId="5723" priority="8906" operator="equal">
      <formula>"Baja"</formula>
    </cfRule>
    <cfRule type="cellIs" dxfId="5722" priority="8907" operator="equal">
      <formula>"Muy Baja"</formula>
    </cfRule>
  </conditionalFormatting>
  <conditionalFormatting sqref="R152">
    <cfRule type="cellIs" dxfId="5721" priority="8746" operator="equal">
      <formula>"Muy Baja"</formula>
    </cfRule>
    <cfRule type="cellIs" dxfId="5720" priority="8745" operator="equal">
      <formula>"Baja"</formula>
    </cfRule>
  </conditionalFormatting>
  <conditionalFormatting sqref="R162">
    <cfRule type="cellIs" dxfId="5719" priority="8647" operator="equal">
      <formula>"Muy Baja"</formula>
    </cfRule>
    <cfRule type="cellIs" dxfId="5718" priority="8646" operator="equal">
      <formula>"Baja"</formula>
    </cfRule>
  </conditionalFormatting>
  <conditionalFormatting sqref="R172">
    <cfRule type="cellIs" dxfId="5717" priority="8598" operator="equal">
      <formula>"Baja"</formula>
    </cfRule>
    <cfRule type="cellIs" dxfId="5716" priority="8599" operator="equal">
      <formula>"Muy Baja"</formula>
    </cfRule>
  </conditionalFormatting>
  <conditionalFormatting sqref="R182">
    <cfRule type="cellIs" dxfId="5715" priority="8437" operator="equal">
      <formula>"Baja"</formula>
    </cfRule>
    <cfRule type="cellIs" dxfId="5714" priority="8438" operator="equal">
      <formula>"Muy Baja"</formula>
    </cfRule>
  </conditionalFormatting>
  <conditionalFormatting sqref="R192">
    <cfRule type="cellIs" dxfId="5713" priority="8339" operator="equal">
      <formula>"Muy Baja"</formula>
    </cfRule>
    <cfRule type="cellIs" dxfId="5712" priority="8338" operator="equal">
      <formula>"Baja"</formula>
    </cfRule>
  </conditionalFormatting>
  <conditionalFormatting sqref="R202">
    <cfRule type="cellIs" dxfId="5711" priority="8291" operator="equal">
      <formula>"Muy Baja"</formula>
    </cfRule>
    <cfRule type="cellIs" dxfId="5710" priority="8290" operator="equal">
      <formula>"Baja"</formula>
    </cfRule>
  </conditionalFormatting>
  <conditionalFormatting sqref="R212">
    <cfRule type="cellIs" dxfId="5709" priority="8129" operator="equal">
      <formula>"Baja"</formula>
    </cfRule>
    <cfRule type="cellIs" dxfId="5708" priority="8130" operator="equal">
      <formula>"Muy Baja"</formula>
    </cfRule>
  </conditionalFormatting>
  <conditionalFormatting sqref="R222">
    <cfRule type="cellIs" dxfId="5707" priority="7918" operator="equal">
      <formula>"Baja"</formula>
    </cfRule>
    <cfRule type="cellIs" dxfId="5706" priority="7919" operator="equal">
      <formula>"Muy Baja"</formula>
    </cfRule>
  </conditionalFormatting>
  <conditionalFormatting sqref="R232">
    <cfRule type="cellIs" dxfId="5705" priority="7871" operator="equal">
      <formula>"Muy Baja"</formula>
    </cfRule>
    <cfRule type="cellIs" dxfId="5704" priority="7870" operator="equal">
      <formula>"Baja"</formula>
    </cfRule>
  </conditionalFormatting>
  <conditionalFormatting sqref="R242">
    <cfRule type="cellIs" dxfId="5703" priority="7822" operator="equal">
      <formula>"Baja"</formula>
    </cfRule>
    <cfRule type="cellIs" dxfId="5702" priority="7823" operator="equal">
      <formula>"Muy Baja"</formula>
    </cfRule>
  </conditionalFormatting>
  <conditionalFormatting sqref="R252">
    <cfRule type="cellIs" dxfId="5701" priority="7775" operator="equal">
      <formula>"Muy Baja"</formula>
    </cfRule>
    <cfRule type="cellIs" dxfId="5700" priority="7774" operator="equal">
      <formula>"Baja"</formula>
    </cfRule>
  </conditionalFormatting>
  <conditionalFormatting sqref="R262">
    <cfRule type="cellIs" dxfId="5699" priority="7726" operator="equal">
      <formula>"Baja"</formula>
    </cfRule>
    <cfRule type="cellIs" dxfId="5698" priority="7727" operator="equal">
      <formula>"Muy Baja"</formula>
    </cfRule>
  </conditionalFormatting>
  <conditionalFormatting sqref="R272">
    <cfRule type="cellIs" dxfId="5697" priority="7678" operator="equal">
      <formula>"Baja"</formula>
    </cfRule>
    <cfRule type="cellIs" dxfId="5696" priority="7679" operator="equal">
      <formula>"Muy Baja"</formula>
    </cfRule>
  </conditionalFormatting>
  <conditionalFormatting sqref="R282">
    <cfRule type="cellIs" dxfId="5695" priority="7631" operator="equal">
      <formula>"Muy Baja"</formula>
    </cfRule>
    <cfRule type="cellIs" dxfId="5694" priority="7630" operator="equal">
      <formula>"Baja"</formula>
    </cfRule>
  </conditionalFormatting>
  <conditionalFormatting sqref="R292">
    <cfRule type="cellIs" dxfId="5693" priority="7582" operator="equal">
      <formula>"Baja"</formula>
    </cfRule>
    <cfRule type="cellIs" dxfId="5692" priority="7583" operator="equal">
      <formula>"Muy Baja"</formula>
    </cfRule>
  </conditionalFormatting>
  <conditionalFormatting sqref="R302">
    <cfRule type="cellIs" dxfId="5691" priority="7535" operator="equal">
      <formula>"Muy Baja"</formula>
    </cfRule>
    <cfRule type="cellIs" dxfId="5690" priority="7534" operator="equal">
      <formula>"Baja"</formula>
    </cfRule>
  </conditionalFormatting>
  <conditionalFormatting sqref="R312">
    <cfRule type="cellIs" dxfId="5689" priority="7152" operator="equal">
      <formula>"Baja"</formula>
    </cfRule>
    <cfRule type="cellIs" dxfId="5688" priority="7153" operator="equal">
      <formula>"Muy Baja"</formula>
    </cfRule>
  </conditionalFormatting>
  <conditionalFormatting sqref="R322">
    <cfRule type="cellIs" dxfId="5687" priority="7056" operator="equal">
      <formula>"Muy Baja"</formula>
    </cfRule>
    <cfRule type="cellIs" dxfId="5686" priority="7055" operator="equal">
      <formula>"Baja"</formula>
    </cfRule>
  </conditionalFormatting>
  <conditionalFormatting sqref="R332">
    <cfRule type="cellIs" dxfId="5685" priority="6940" operator="equal">
      <formula>"Baja"</formula>
    </cfRule>
    <cfRule type="cellIs" dxfId="5684" priority="6941" operator="equal">
      <formula>"Muy Baja"</formula>
    </cfRule>
  </conditionalFormatting>
  <conditionalFormatting sqref="R342">
    <cfRule type="cellIs" dxfId="5683" priority="6893" operator="equal">
      <formula>"Muy Baja"</formula>
    </cfRule>
    <cfRule type="cellIs" dxfId="5682" priority="6892" operator="equal">
      <formula>"Baja"</formula>
    </cfRule>
  </conditionalFormatting>
  <conditionalFormatting sqref="R352">
    <cfRule type="cellIs" dxfId="5681" priority="6844" operator="equal">
      <formula>"Baja"</formula>
    </cfRule>
    <cfRule type="cellIs" dxfId="5680" priority="6845" operator="equal">
      <formula>"Muy Baja"</formula>
    </cfRule>
  </conditionalFormatting>
  <conditionalFormatting sqref="R362">
    <cfRule type="cellIs" dxfId="5679" priority="6657" operator="equal">
      <formula>"Baja"</formula>
    </cfRule>
    <cfRule type="cellIs" dxfId="5678" priority="6658" operator="equal">
      <formula>"Muy Baja"</formula>
    </cfRule>
  </conditionalFormatting>
  <conditionalFormatting sqref="R372">
    <cfRule type="cellIs" dxfId="5677" priority="6543" operator="equal">
      <formula>"Muy Baja"</formula>
    </cfRule>
    <cfRule type="cellIs" dxfId="5676" priority="6542" operator="equal">
      <formula>"Baja"</formula>
    </cfRule>
  </conditionalFormatting>
  <conditionalFormatting sqref="R382">
    <cfRule type="cellIs" dxfId="5675" priority="6495" operator="equal">
      <formula>"Muy Baja"</formula>
    </cfRule>
    <cfRule type="cellIs" dxfId="5674" priority="6494" operator="equal">
      <formula>"Baja"</formula>
    </cfRule>
  </conditionalFormatting>
  <conditionalFormatting sqref="R392">
    <cfRule type="cellIs" dxfId="5673" priority="6446" operator="equal">
      <formula>"Baja"</formula>
    </cfRule>
    <cfRule type="cellIs" dxfId="5672" priority="6447" operator="equal">
      <formula>"Muy Baja"</formula>
    </cfRule>
  </conditionalFormatting>
  <conditionalFormatting sqref="R402">
    <cfRule type="cellIs" dxfId="5671" priority="6259" operator="equal">
      <formula>"Baja"</formula>
    </cfRule>
    <cfRule type="cellIs" dxfId="5670" priority="6260" operator="equal">
      <formula>"Muy Baja"</formula>
    </cfRule>
  </conditionalFormatting>
  <conditionalFormatting sqref="R412">
    <cfRule type="cellIs" dxfId="5669" priority="6177" operator="equal">
      <formula>"Muy Baja"</formula>
    </cfRule>
    <cfRule type="cellIs" dxfId="5668" priority="6176" operator="equal">
      <formula>"Baja"</formula>
    </cfRule>
  </conditionalFormatting>
  <conditionalFormatting sqref="R422">
    <cfRule type="cellIs" dxfId="5667" priority="6042" operator="equal">
      <formula>"Muy Baja"</formula>
    </cfRule>
    <cfRule type="cellIs" dxfId="5666" priority="6041" operator="equal">
      <formula>"Baja"</formula>
    </cfRule>
  </conditionalFormatting>
  <conditionalFormatting sqref="R432">
    <cfRule type="cellIs" dxfId="5665" priority="5959" operator="equal">
      <formula>"Muy Baja"</formula>
    </cfRule>
    <cfRule type="cellIs" dxfId="5664" priority="5958" operator="equal">
      <formula>"Baja"</formula>
    </cfRule>
  </conditionalFormatting>
  <conditionalFormatting sqref="R442">
    <cfRule type="cellIs" dxfId="5663" priority="5725" operator="equal">
      <formula>"Muy Baja"</formula>
    </cfRule>
    <cfRule type="cellIs" dxfId="5662" priority="5724" operator="equal">
      <formula>"Baja"</formula>
    </cfRule>
  </conditionalFormatting>
  <conditionalFormatting sqref="R452">
    <cfRule type="cellIs" dxfId="5661" priority="5677" operator="equal">
      <formula>"Muy Baja"</formula>
    </cfRule>
    <cfRule type="cellIs" dxfId="5660" priority="5676" operator="equal">
      <formula>"Baja"</formula>
    </cfRule>
  </conditionalFormatting>
  <conditionalFormatting sqref="R462">
    <cfRule type="cellIs" dxfId="5659" priority="5629" operator="equal">
      <formula>"Muy Baja"</formula>
    </cfRule>
    <cfRule type="cellIs" dxfId="5658" priority="5628" operator="equal">
      <formula>"Baja"</formula>
    </cfRule>
  </conditionalFormatting>
  <conditionalFormatting sqref="R472">
    <cfRule type="cellIs" dxfId="5657" priority="5580" operator="equal">
      <formula>"Baja"</formula>
    </cfRule>
    <cfRule type="cellIs" dxfId="5656" priority="5581" operator="equal">
      <formula>"Muy Baja"</formula>
    </cfRule>
  </conditionalFormatting>
  <conditionalFormatting sqref="R482">
    <cfRule type="cellIs" dxfId="5655" priority="5532" operator="equal">
      <formula>"Baja"</formula>
    </cfRule>
    <cfRule type="cellIs" dxfId="5654" priority="5533" operator="equal">
      <formula>"Muy Baja"</formula>
    </cfRule>
  </conditionalFormatting>
  <conditionalFormatting sqref="R492">
    <cfRule type="cellIs" dxfId="5653" priority="5485" operator="equal">
      <formula>"Muy Baja"</formula>
    </cfRule>
    <cfRule type="cellIs" dxfId="5652" priority="5484" operator="equal">
      <formula>"Baja"</formula>
    </cfRule>
  </conditionalFormatting>
  <conditionalFormatting sqref="R502">
    <cfRule type="cellIs" dxfId="5651" priority="5258" operator="equal">
      <formula>"Baja"</formula>
    </cfRule>
    <cfRule type="cellIs" dxfId="5650" priority="5259" operator="equal">
      <formula>"Muy Baja"</formula>
    </cfRule>
  </conditionalFormatting>
  <conditionalFormatting sqref="R512">
    <cfRule type="cellIs" dxfId="5649" priority="5210" operator="equal">
      <formula>"Baja"</formula>
    </cfRule>
    <cfRule type="cellIs" dxfId="5648" priority="5211" operator="equal">
      <formula>"Muy Baja"</formula>
    </cfRule>
  </conditionalFormatting>
  <conditionalFormatting sqref="R522">
    <cfRule type="cellIs" dxfId="5647" priority="5162" operator="equal">
      <formula>"Baja"</formula>
    </cfRule>
    <cfRule type="cellIs" dxfId="5646" priority="5163" operator="equal">
      <formula>"Muy Baja"</formula>
    </cfRule>
  </conditionalFormatting>
  <conditionalFormatting sqref="R532">
    <cfRule type="cellIs" dxfId="5645" priority="5007" operator="equal">
      <formula>"Baja"</formula>
    </cfRule>
    <cfRule type="cellIs" dxfId="5644" priority="5008" operator="equal">
      <formula>"Muy Baja"</formula>
    </cfRule>
  </conditionalFormatting>
  <conditionalFormatting sqref="R542">
    <cfRule type="cellIs" dxfId="5643" priority="4925" operator="equal">
      <formula>"Muy Baja"</formula>
    </cfRule>
    <cfRule type="cellIs" dxfId="5642" priority="4924" operator="equal">
      <formula>"Baja"</formula>
    </cfRule>
  </conditionalFormatting>
  <conditionalFormatting sqref="R552">
    <cfRule type="cellIs" dxfId="5641" priority="4771" operator="equal">
      <formula>"Muy Baja"</formula>
    </cfRule>
    <cfRule type="cellIs" dxfId="5640" priority="4770" operator="equal">
      <formula>"Baja"</formula>
    </cfRule>
  </conditionalFormatting>
  <conditionalFormatting sqref="R562">
    <cfRule type="cellIs" dxfId="5639" priority="4642" operator="equal">
      <formula>"Baja"</formula>
    </cfRule>
    <cfRule type="cellIs" dxfId="5638" priority="4643" operator="equal">
      <formula>"Muy Baja"</formula>
    </cfRule>
  </conditionalFormatting>
  <conditionalFormatting sqref="R572">
    <cfRule type="cellIs" dxfId="5637" priority="4595" operator="equal">
      <formula>"Muy Baja"</formula>
    </cfRule>
    <cfRule type="cellIs" dxfId="5636" priority="4594" operator="equal">
      <formula>"Baja"</formula>
    </cfRule>
  </conditionalFormatting>
  <conditionalFormatting sqref="R582">
    <cfRule type="cellIs" dxfId="5635" priority="4409" operator="equal">
      <formula>"Muy Baja"</formula>
    </cfRule>
    <cfRule type="cellIs" dxfId="5634" priority="4408" operator="equal">
      <formula>"Baja"</formula>
    </cfRule>
  </conditionalFormatting>
  <conditionalFormatting sqref="R592">
    <cfRule type="cellIs" dxfId="5633" priority="4361" operator="equal">
      <formula>"Muy Baja"</formula>
    </cfRule>
    <cfRule type="cellIs" dxfId="5632" priority="4360" operator="equal">
      <formula>"Baja"</formula>
    </cfRule>
  </conditionalFormatting>
  <conditionalFormatting sqref="R602">
    <cfRule type="cellIs" dxfId="5631" priority="4312" operator="equal">
      <formula>"Baja"</formula>
    </cfRule>
    <cfRule type="cellIs" dxfId="5630" priority="4313" operator="equal">
      <formula>"Muy Baja"</formula>
    </cfRule>
  </conditionalFormatting>
  <conditionalFormatting sqref="R612">
    <cfRule type="cellIs" dxfId="5629" priority="4075" operator="equal">
      <formula>"Muy Baja"</formula>
    </cfRule>
    <cfRule type="cellIs" dxfId="5628" priority="4074" operator="equal">
      <formula>"Baja"</formula>
    </cfRule>
  </conditionalFormatting>
  <conditionalFormatting sqref="R622">
    <cfRule type="cellIs" dxfId="5627" priority="3977" operator="equal">
      <formula>"Baja"</formula>
    </cfRule>
    <cfRule type="cellIs" dxfId="5626" priority="3978" operator="equal">
      <formula>"Muy Baja"</formula>
    </cfRule>
  </conditionalFormatting>
  <conditionalFormatting sqref="R632">
    <cfRule type="cellIs" dxfId="5625" priority="3879" operator="equal">
      <formula>"Muy Baja"</formula>
    </cfRule>
    <cfRule type="cellIs" dxfId="5624" priority="3878" operator="equal">
      <formula>"Baja"</formula>
    </cfRule>
  </conditionalFormatting>
  <conditionalFormatting sqref="R642">
    <cfRule type="cellIs" dxfId="5623" priority="3830" operator="equal">
      <formula>"Baja"</formula>
    </cfRule>
    <cfRule type="cellIs" dxfId="5622" priority="3831" operator="equal">
      <formula>"Muy Baja"</formula>
    </cfRule>
  </conditionalFormatting>
  <conditionalFormatting sqref="R652">
    <cfRule type="cellIs" dxfId="5621" priority="3655" operator="equal">
      <formula>"Muy Baja"</formula>
    </cfRule>
    <cfRule type="cellIs" dxfId="5620" priority="3654" operator="equal">
      <formula>"Baja"</formula>
    </cfRule>
  </conditionalFormatting>
  <conditionalFormatting sqref="R662">
    <cfRule type="cellIs" dxfId="5619" priority="3458" operator="equal">
      <formula>"Baja"</formula>
    </cfRule>
    <cfRule type="cellIs" dxfId="5618" priority="3459" operator="equal">
      <formula>"Muy Baja"</formula>
    </cfRule>
  </conditionalFormatting>
  <conditionalFormatting sqref="R672">
    <cfRule type="cellIs" dxfId="5617" priority="3411" operator="equal">
      <formula>"Muy Baja"</formula>
    </cfRule>
    <cfRule type="cellIs" dxfId="5616" priority="3410" operator="equal">
      <formula>"Baja"</formula>
    </cfRule>
  </conditionalFormatting>
  <conditionalFormatting sqref="R682">
    <cfRule type="cellIs" dxfId="5615" priority="3363" operator="equal">
      <formula>"Muy Baja"</formula>
    </cfRule>
    <cfRule type="cellIs" dxfId="5614" priority="3362" operator="equal">
      <formula>"Baja"</formula>
    </cfRule>
  </conditionalFormatting>
  <conditionalFormatting sqref="R692">
    <cfRule type="cellIs" dxfId="5613" priority="3315" operator="equal">
      <formula>"Muy Baja"</formula>
    </cfRule>
    <cfRule type="cellIs" dxfId="5612" priority="3314" operator="equal">
      <formula>"Baja"</formula>
    </cfRule>
  </conditionalFormatting>
  <conditionalFormatting sqref="R702">
    <cfRule type="cellIs" dxfId="5611" priority="3267" operator="equal">
      <formula>"Muy Baja"</formula>
    </cfRule>
    <cfRule type="cellIs" dxfId="5610" priority="3266" operator="equal">
      <formula>"Baja"</formula>
    </cfRule>
  </conditionalFormatting>
  <conditionalFormatting sqref="R712">
    <cfRule type="cellIs" dxfId="5609" priority="3219" operator="equal">
      <formula>"Muy Baja"</formula>
    </cfRule>
    <cfRule type="cellIs" dxfId="5608" priority="3218" operator="equal">
      <formula>"Baja"</formula>
    </cfRule>
  </conditionalFormatting>
  <conditionalFormatting sqref="R722">
    <cfRule type="cellIs" dxfId="5607" priority="2836" operator="equal">
      <formula>"Baja"</formula>
    </cfRule>
    <cfRule type="cellIs" dxfId="5606" priority="2837" operator="equal">
      <formula>"Muy Baja"</formula>
    </cfRule>
  </conditionalFormatting>
  <conditionalFormatting sqref="R732">
    <cfRule type="cellIs" dxfId="5605" priority="2788" operator="equal">
      <formula>"Baja"</formula>
    </cfRule>
    <cfRule type="cellIs" dxfId="5604" priority="2789" operator="equal">
      <formula>"Muy Baja"</formula>
    </cfRule>
  </conditionalFormatting>
  <conditionalFormatting sqref="R742">
    <cfRule type="cellIs" dxfId="5603" priority="2741" operator="equal">
      <formula>"Muy Baja"</formula>
    </cfRule>
    <cfRule type="cellIs" dxfId="5602" priority="2740" operator="equal">
      <formula>"Baja"</formula>
    </cfRule>
  </conditionalFormatting>
  <conditionalFormatting sqref="R752">
    <cfRule type="cellIs" dxfId="5601" priority="2693" operator="equal">
      <formula>"Muy Baja"</formula>
    </cfRule>
    <cfRule type="cellIs" dxfId="5600" priority="2692" operator="equal">
      <formula>"Baja"</formula>
    </cfRule>
  </conditionalFormatting>
  <conditionalFormatting sqref="R762">
    <cfRule type="cellIs" dxfId="5599" priority="2644" operator="equal">
      <formula>"Baja"</formula>
    </cfRule>
    <cfRule type="cellIs" dxfId="5598" priority="2645" operator="equal">
      <formula>"Muy Baja"</formula>
    </cfRule>
  </conditionalFormatting>
  <conditionalFormatting sqref="R772">
    <cfRule type="cellIs" dxfId="5597" priority="2597" operator="equal">
      <formula>"Muy Baja"</formula>
    </cfRule>
    <cfRule type="cellIs" dxfId="5596" priority="2596" operator="equal">
      <formula>"Baja"</formula>
    </cfRule>
  </conditionalFormatting>
  <conditionalFormatting sqref="R782">
    <cfRule type="cellIs" dxfId="5595" priority="2548" operator="equal">
      <formula>"Baja"</formula>
    </cfRule>
    <cfRule type="cellIs" dxfId="5594" priority="2549" operator="equal">
      <formula>"Muy Baja"</formula>
    </cfRule>
  </conditionalFormatting>
  <conditionalFormatting sqref="R792">
    <cfRule type="cellIs" dxfId="5593" priority="2501" operator="equal">
      <formula>"Muy Baja"</formula>
    </cfRule>
    <cfRule type="cellIs" dxfId="5592" priority="2500" operator="equal">
      <formula>"Baja"</formula>
    </cfRule>
  </conditionalFormatting>
  <conditionalFormatting sqref="R802">
    <cfRule type="cellIs" dxfId="5591" priority="2453" operator="equal">
      <formula>"Muy Baja"</formula>
    </cfRule>
    <cfRule type="cellIs" dxfId="5590" priority="2452" operator="equal">
      <formula>"Baja"</formula>
    </cfRule>
  </conditionalFormatting>
  <conditionalFormatting sqref="R812">
    <cfRule type="cellIs" dxfId="5589" priority="2012" operator="equal">
      <formula>"Baja"</formula>
    </cfRule>
    <cfRule type="cellIs" dxfId="5588" priority="2013" operator="equal">
      <formula>"Muy Baja"</formula>
    </cfRule>
  </conditionalFormatting>
  <conditionalFormatting sqref="R822">
    <cfRule type="cellIs" dxfId="5587" priority="1965" operator="equal">
      <formula>"Muy Baja"</formula>
    </cfRule>
    <cfRule type="cellIs" dxfId="5586" priority="1964" operator="equal">
      <formula>"Baja"</formula>
    </cfRule>
  </conditionalFormatting>
  <conditionalFormatting sqref="R832">
    <cfRule type="cellIs" dxfId="5585" priority="1917" operator="equal">
      <formula>"Muy Baja"</formula>
    </cfRule>
    <cfRule type="cellIs" dxfId="5584" priority="1916" operator="equal">
      <formula>"Baja"</formula>
    </cfRule>
  </conditionalFormatting>
  <conditionalFormatting sqref="R842">
    <cfRule type="cellIs" dxfId="5583" priority="1869" operator="equal">
      <formula>"Muy Baja"</formula>
    </cfRule>
    <cfRule type="cellIs" dxfId="5582" priority="1868" operator="equal">
      <formula>"Baja"</formula>
    </cfRule>
  </conditionalFormatting>
  <conditionalFormatting sqref="R852">
    <cfRule type="cellIs" dxfId="5581" priority="1821" operator="equal">
      <formula>"Muy Baja"</formula>
    </cfRule>
    <cfRule type="cellIs" dxfId="5580" priority="1820" operator="equal">
      <formula>"Baja"</formula>
    </cfRule>
  </conditionalFormatting>
  <conditionalFormatting sqref="R862">
    <cfRule type="cellIs" dxfId="5579" priority="1773" operator="equal">
      <formula>"Muy Baja"</formula>
    </cfRule>
    <cfRule type="cellIs" dxfId="5578" priority="1772" operator="equal">
      <formula>"Baja"</formula>
    </cfRule>
  </conditionalFormatting>
  <conditionalFormatting sqref="R872">
    <cfRule type="cellIs" dxfId="5577" priority="1724" operator="equal">
      <formula>"Baja"</formula>
    </cfRule>
    <cfRule type="cellIs" dxfId="5576" priority="1725" operator="equal">
      <formula>"Muy Baja"</formula>
    </cfRule>
  </conditionalFormatting>
  <conditionalFormatting sqref="R882">
    <cfRule type="cellIs" dxfId="5575" priority="1352" operator="equal">
      <formula>"Baja"</formula>
    </cfRule>
    <cfRule type="cellIs" dxfId="5574" priority="1353" operator="equal">
      <formula>"Muy Baja"</formula>
    </cfRule>
  </conditionalFormatting>
  <conditionalFormatting sqref="R892">
    <cfRule type="cellIs" dxfId="5573" priority="1305" operator="equal">
      <formula>"Muy Baja"</formula>
    </cfRule>
    <cfRule type="cellIs" dxfId="5572" priority="1304" operator="equal">
      <formula>"Baja"</formula>
    </cfRule>
  </conditionalFormatting>
  <conditionalFormatting sqref="R902">
    <cfRule type="cellIs" dxfId="5571" priority="1256" operator="equal">
      <formula>"Baja"</formula>
    </cfRule>
    <cfRule type="cellIs" dxfId="5570" priority="1257" operator="equal">
      <formula>"Muy Baja"</formula>
    </cfRule>
  </conditionalFormatting>
  <conditionalFormatting sqref="R912">
    <cfRule type="cellIs" dxfId="5569" priority="1208" operator="equal">
      <formula>"Baja"</formula>
    </cfRule>
    <cfRule type="cellIs" dxfId="5568" priority="1209" operator="equal">
      <formula>"Muy Baja"</formula>
    </cfRule>
  </conditionalFormatting>
  <conditionalFormatting sqref="R922">
    <cfRule type="cellIs" dxfId="5567" priority="1161" operator="equal">
      <formula>"Muy Baja"</formula>
    </cfRule>
    <cfRule type="cellIs" dxfId="5566" priority="1160" operator="equal">
      <formula>"Baja"</formula>
    </cfRule>
  </conditionalFormatting>
  <conditionalFormatting sqref="R932">
    <cfRule type="cellIs" dxfId="5565" priority="1113" operator="equal">
      <formula>"Muy Baja"</formula>
    </cfRule>
    <cfRule type="cellIs" dxfId="5564" priority="1112" operator="equal">
      <formula>"Baja"</formula>
    </cfRule>
  </conditionalFormatting>
  <conditionalFormatting sqref="R942">
    <cfRule type="cellIs" dxfId="5563" priority="877" operator="equal">
      <formula>"Baja"</formula>
    </cfRule>
    <cfRule type="cellIs" dxfId="5562" priority="878" operator="equal">
      <formula>"Muy Baja"</formula>
    </cfRule>
  </conditionalFormatting>
  <conditionalFormatting sqref="R952">
    <cfRule type="cellIs" dxfId="5561" priority="795" operator="equal">
      <formula>"Muy Baja"</formula>
    </cfRule>
    <cfRule type="cellIs" dxfId="5560" priority="794" operator="equal">
      <formula>"Baja"</formula>
    </cfRule>
  </conditionalFormatting>
  <conditionalFormatting sqref="R962">
    <cfRule type="cellIs" dxfId="5559" priority="641" operator="equal">
      <formula>"Muy Baja"</formula>
    </cfRule>
    <cfRule type="cellIs" dxfId="5558" priority="640" operator="equal">
      <formula>"Baja"</formula>
    </cfRule>
  </conditionalFormatting>
  <conditionalFormatting sqref="R972">
    <cfRule type="cellIs" dxfId="5557" priority="497" operator="equal">
      <formula>"Muy Baja"</formula>
    </cfRule>
    <cfRule type="cellIs" dxfId="5556" priority="496" operator="equal">
      <formula>"Baja"</formula>
    </cfRule>
  </conditionalFormatting>
  <conditionalFormatting sqref="R982">
    <cfRule type="cellIs" dxfId="5555" priority="449" operator="equal">
      <formula>"Muy Baja"</formula>
    </cfRule>
    <cfRule type="cellIs" dxfId="5554" priority="448" operator="equal">
      <formula>"Baja"</formula>
    </cfRule>
  </conditionalFormatting>
  <conditionalFormatting sqref="R992">
    <cfRule type="cellIs" dxfId="5553" priority="400" operator="equal">
      <formula>"Baja"</formula>
    </cfRule>
    <cfRule type="cellIs" dxfId="5552" priority="401" operator="equal">
      <formula>"Muy Baja"</formula>
    </cfRule>
  </conditionalFormatting>
  <conditionalFormatting sqref="R1002">
    <cfRule type="cellIs" dxfId="5551" priority="216" operator="equal">
      <formula>"Baja"</formula>
    </cfRule>
    <cfRule type="cellIs" dxfId="5550" priority="217" operator="equal">
      <formula>"Muy Baja"</formula>
    </cfRule>
  </conditionalFormatting>
  <conditionalFormatting sqref="R1012">
    <cfRule type="cellIs" dxfId="5549" priority="169" operator="equal">
      <formula>"Muy Baja"</formula>
    </cfRule>
    <cfRule type="cellIs" dxfId="5548" priority="168" operator="equal">
      <formula>"Baja"</formula>
    </cfRule>
  </conditionalFormatting>
  <conditionalFormatting sqref="R12:T12">
    <cfRule type="cellIs" dxfId="5547" priority="10158" operator="equal">
      <formula>"Muy Alta"</formula>
    </cfRule>
    <cfRule type="cellIs" dxfId="5546" priority="10159" operator="equal">
      <formula>"Alta"</formula>
    </cfRule>
    <cfRule type="cellIs" dxfId="5545" priority="10160" operator="equal">
      <formula>"Media"</formula>
    </cfRule>
  </conditionalFormatting>
  <conditionalFormatting sqref="R22:T22">
    <cfRule type="cellIs" dxfId="5544" priority="10075" operator="equal">
      <formula>"Muy Alta"</formula>
    </cfRule>
    <cfRule type="cellIs" dxfId="5543" priority="10076" operator="equal">
      <formula>"Alta"</formula>
    </cfRule>
    <cfRule type="cellIs" dxfId="5542" priority="10077" operator="equal">
      <formula>"Media"</formula>
    </cfRule>
  </conditionalFormatting>
  <conditionalFormatting sqref="R32:T32">
    <cfRule type="cellIs" dxfId="5541" priority="9938" operator="equal">
      <formula>"Muy Alta"</formula>
    </cfRule>
    <cfRule type="cellIs" dxfId="5540" priority="9939" operator="equal">
      <formula>"Alta"</formula>
    </cfRule>
    <cfRule type="cellIs" dxfId="5539" priority="9940" operator="equal">
      <formula>"Media"</formula>
    </cfRule>
  </conditionalFormatting>
  <conditionalFormatting sqref="R42:T42">
    <cfRule type="cellIs" dxfId="5538" priority="9823" operator="equal">
      <formula>"Muy Alta"</formula>
    </cfRule>
    <cfRule type="cellIs" dxfId="5537" priority="9825" operator="equal">
      <formula>"Media"</formula>
    </cfRule>
    <cfRule type="cellIs" dxfId="5536" priority="9824" operator="equal">
      <formula>"Alta"</formula>
    </cfRule>
  </conditionalFormatting>
  <conditionalFormatting sqref="R52:T52">
    <cfRule type="cellIs" dxfId="5535" priority="9776" operator="equal">
      <formula>"Alta"</formula>
    </cfRule>
    <cfRule type="cellIs" dxfId="5534" priority="9777" operator="equal">
      <formula>"Media"</formula>
    </cfRule>
    <cfRule type="cellIs" dxfId="5533" priority="9775" operator="equal">
      <formula>"Muy Alta"</formula>
    </cfRule>
  </conditionalFormatting>
  <conditionalFormatting sqref="R62:T62">
    <cfRule type="cellIs" dxfId="5532" priority="9727" operator="equal">
      <formula>"Muy Alta"</formula>
    </cfRule>
    <cfRule type="cellIs" dxfId="5531" priority="9729" operator="equal">
      <formula>"Media"</formula>
    </cfRule>
    <cfRule type="cellIs" dxfId="5530" priority="9728" operator="equal">
      <formula>"Alta"</formula>
    </cfRule>
  </conditionalFormatting>
  <conditionalFormatting sqref="R72:T72">
    <cfRule type="cellIs" dxfId="5529" priority="9540" operator="equal">
      <formula>"Muy Alta"</formula>
    </cfRule>
    <cfRule type="cellIs" dxfId="5528" priority="9542" operator="equal">
      <formula>"Media"</formula>
    </cfRule>
    <cfRule type="cellIs" dxfId="5527" priority="9541" operator="equal">
      <formula>"Alta"</formula>
    </cfRule>
  </conditionalFormatting>
  <conditionalFormatting sqref="R82:T82">
    <cfRule type="cellIs" dxfId="5526" priority="9411" operator="equal">
      <formula>"Media"</formula>
    </cfRule>
    <cfRule type="cellIs" dxfId="5525" priority="9409" operator="equal">
      <formula>"Muy Alta"</formula>
    </cfRule>
    <cfRule type="cellIs" dxfId="5524" priority="9410" operator="equal">
      <formula>"Alta"</formula>
    </cfRule>
  </conditionalFormatting>
  <conditionalFormatting sqref="R92:T92">
    <cfRule type="cellIs" dxfId="5523" priority="9363" operator="equal">
      <formula>"Media"</formula>
    </cfRule>
    <cfRule type="cellIs" dxfId="5522" priority="9362" operator="equal">
      <formula>"Alta"</formula>
    </cfRule>
    <cfRule type="cellIs" dxfId="5521" priority="9361" operator="equal">
      <formula>"Muy Alta"</formula>
    </cfRule>
  </conditionalFormatting>
  <conditionalFormatting sqref="R102:T102">
    <cfRule type="cellIs" dxfId="5520" priority="9313" operator="equal">
      <formula>"Muy Alta"</formula>
    </cfRule>
    <cfRule type="cellIs" dxfId="5519" priority="9315" operator="equal">
      <formula>"Media"</formula>
    </cfRule>
    <cfRule type="cellIs" dxfId="5518" priority="9314" operator="equal">
      <formula>"Alta"</formula>
    </cfRule>
  </conditionalFormatting>
  <conditionalFormatting sqref="R112:T112">
    <cfRule type="cellIs" dxfId="5517" priority="9267" operator="equal">
      <formula>"Media"</formula>
    </cfRule>
    <cfRule type="cellIs" dxfId="5516" priority="9266" operator="equal">
      <formula>"Alta"</formula>
    </cfRule>
    <cfRule type="cellIs" dxfId="5515" priority="9265" operator="equal">
      <formula>"Muy Alta"</formula>
    </cfRule>
  </conditionalFormatting>
  <conditionalFormatting sqref="R122:T122">
    <cfRule type="cellIs" dxfId="5514" priority="9048" operator="equal">
      <formula>"Muy Alta"</formula>
    </cfRule>
    <cfRule type="cellIs" dxfId="5513" priority="9050" operator="equal">
      <formula>"Media"</formula>
    </cfRule>
    <cfRule type="cellIs" dxfId="5512" priority="9049" operator="equal">
      <formula>"Alta"</formula>
    </cfRule>
  </conditionalFormatting>
  <conditionalFormatting sqref="R132:T132">
    <cfRule type="cellIs" dxfId="5511" priority="8950" operator="equal">
      <formula>"Alta"</formula>
    </cfRule>
    <cfRule type="cellIs" dxfId="5510" priority="8949" operator="equal">
      <formula>"Muy Alta"</formula>
    </cfRule>
    <cfRule type="cellIs" dxfId="5509" priority="8951" operator="equal">
      <formula>"Media"</formula>
    </cfRule>
  </conditionalFormatting>
  <conditionalFormatting sqref="R142:T142">
    <cfRule type="cellIs" dxfId="5508" priority="8903" operator="equal">
      <formula>"Media"</formula>
    </cfRule>
    <cfRule type="cellIs" dxfId="5507" priority="8902" operator="equal">
      <formula>"Alta"</formula>
    </cfRule>
    <cfRule type="cellIs" dxfId="5506" priority="8901" operator="equal">
      <formula>"Muy Alta"</formula>
    </cfRule>
  </conditionalFormatting>
  <conditionalFormatting sqref="R152:T152">
    <cfRule type="cellIs" dxfId="5505" priority="8740" operator="equal">
      <formula>"Muy Alta"</formula>
    </cfRule>
    <cfRule type="cellIs" dxfId="5504" priority="8742" operator="equal">
      <formula>"Media"</formula>
    </cfRule>
    <cfRule type="cellIs" dxfId="5503" priority="8741" operator="equal">
      <formula>"Alta"</formula>
    </cfRule>
  </conditionalFormatting>
  <conditionalFormatting sqref="R162:T162">
    <cfRule type="cellIs" dxfId="5502" priority="8643" operator="equal">
      <formula>"Media"</formula>
    </cfRule>
    <cfRule type="cellIs" dxfId="5501" priority="8642" operator="equal">
      <formula>"Alta"</formula>
    </cfRule>
    <cfRule type="cellIs" dxfId="5500" priority="8641" operator="equal">
      <formula>"Muy Alta"</formula>
    </cfRule>
  </conditionalFormatting>
  <conditionalFormatting sqref="R172:T172">
    <cfRule type="cellIs" dxfId="5499" priority="8593" operator="equal">
      <formula>"Muy Alta"</formula>
    </cfRule>
    <cfRule type="cellIs" dxfId="5498" priority="8594" operator="equal">
      <formula>"Alta"</formula>
    </cfRule>
    <cfRule type="cellIs" dxfId="5497" priority="8595" operator="equal">
      <formula>"Media"</formula>
    </cfRule>
  </conditionalFormatting>
  <conditionalFormatting sqref="R182:T182">
    <cfRule type="cellIs" dxfId="5496" priority="8432" operator="equal">
      <formula>"Muy Alta"</formula>
    </cfRule>
    <cfRule type="cellIs" dxfId="5495" priority="8433" operator="equal">
      <formula>"Alta"</formula>
    </cfRule>
    <cfRule type="cellIs" dxfId="5494" priority="8434" operator="equal">
      <formula>"Media"</formula>
    </cfRule>
  </conditionalFormatting>
  <conditionalFormatting sqref="R192:T192">
    <cfRule type="cellIs" dxfId="5493" priority="8334" operator="equal">
      <formula>"Alta"</formula>
    </cfRule>
    <cfRule type="cellIs" dxfId="5492" priority="8335" operator="equal">
      <formula>"Media"</formula>
    </cfRule>
    <cfRule type="cellIs" dxfId="5491" priority="8333" operator="equal">
      <formula>"Muy Alta"</formula>
    </cfRule>
  </conditionalFormatting>
  <conditionalFormatting sqref="R202:T202">
    <cfRule type="cellIs" dxfId="5490" priority="8287" operator="equal">
      <formula>"Media"</formula>
    </cfRule>
    <cfRule type="cellIs" dxfId="5489" priority="8286" operator="equal">
      <formula>"Alta"</formula>
    </cfRule>
    <cfRule type="cellIs" dxfId="5488" priority="8285" operator="equal">
      <formula>"Muy Alta"</formula>
    </cfRule>
  </conditionalFormatting>
  <conditionalFormatting sqref="R212:T212">
    <cfRule type="cellIs" dxfId="5487" priority="8124" operator="equal">
      <formula>"Muy Alta"</formula>
    </cfRule>
    <cfRule type="cellIs" dxfId="5486" priority="8126" operator="equal">
      <formula>"Media"</formula>
    </cfRule>
    <cfRule type="cellIs" dxfId="5485" priority="8125" operator="equal">
      <formula>"Alta"</formula>
    </cfRule>
  </conditionalFormatting>
  <conditionalFormatting sqref="R222:T222">
    <cfRule type="cellIs" dxfId="5484" priority="7915" operator="equal">
      <formula>"Media"</formula>
    </cfRule>
    <cfRule type="cellIs" dxfId="5483" priority="7914" operator="equal">
      <formula>"Alta"</formula>
    </cfRule>
    <cfRule type="cellIs" dxfId="5482" priority="7913" operator="equal">
      <formula>"Muy Alta"</formula>
    </cfRule>
  </conditionalFormatting>
  <conditionalFormatting sqref="R232:T232">
    <cfRule type="cellIs" dxfId="5481" priority="7866" operator="equal">
      <formula>"Alta"</formula>
    </cfRule>
    <cfRule type="cellIs" dxfId="5480" priority="7867" operator="equal">
      <formula>"Media"</formula>
    </cfRule>
    <cfRule type="cellIs" dxfId="5479" priority="7865" operator="equal">
      <formula>"Muy Alta"</formula>
    </cfRule>
  </conditionalFormatting>
  <conditionalFormatting sqref="R242:T242">
    <cfRule type="cellIs" dxfId="5478" priority="7818" operator="equal">
      <formula>"Alta"</formula>
    </cfRule>
    <cfRule type="cellIs" dxfId="5477" priority="7819" operator="equal">
      <formula>"Media"</formula>
    </cfRule>
    <cfRule type="cellIs" dxfId="5476" priority="7817" operator="equal">
      <formula>"Muy Alta"</formula>
    </cfRule>
  </conditionalFormatting>
  <conditionalFormatting sqref="R252:T252">
    <cfRule type="cellIs" dxfId="5475" priority="7770" operator="equal">
      <formula>"Alta"</formula>
    </cfRule>
    <cfRule type="cellIs" dxfId="5474" priority="7771" operator="equal">
      <formula>"Media"</formula>
    </cfRule>
    <cfRule type="cellIs" dxfId="5473" priority="7769" operator="equal">
      <formula>"Muy Alta"</formula>
    </cfRule>
  </conditionalFormatting>
  <conditionalFormatting sqref="R262:T262">
    <cfRule type="cellIs" dxfId="5472" priority="7722" operator="equal">
      <formula>"Alta"</formula>
    </cfRule>
    <cfRule type="cellIs" dxfId="5471" priority="7721" operator="equal">
      <formula>"Muy Alta"</formula>
    </cfRule>
    <cfRule type="cellIs" dxfId="5470" priority="7723" operator="equal">
      <formula>"Media"</formula>
    </cfRule>
  </conditionalFormatting>
  <conditionalFormatting sqref="R272:T272">
    <cfRule type="cellIs" dxfId="5469" priority="7674" operator="equal">
      <formula>"Alta"</formula>
    </cfRule>
    <cfRule type="cellIs" dxfId="5468" priority="7675" operator="equal">
      <formula>"Media"</formula>
    </cfRule>
    <cfRule type="cellIs" dxfId="5467" priority="7673" operator="equal">
      <formula>"Muy Alta"</formula>
    </cfRule>
  </conditionalFormatting>
  <conditionalFormatting sqref="R282:T282">
    <cfRule type="cellIs" dxfId="5466" priority="7627" operator="equal">
      <formula>"Media"</formula>
    </cfRule>
    <cfRule type="cellIs" dxfId="5465" priority="7625" operator="equal">
      <formula>"Muy Alta"</formula>
    </cfRule>
    <cfRule type="cellIs" dxfId="5464" priority="7626" operator="equal">
      <formula>"Alta"</formula>
    </cfRule>
  </conditionalFormatting>
  <conditionalFormatting sqref="R292:T292">
    <cfRule type="cellIs" dxfId="5463" priority="7579" operator="equal">
      <formula>"Media"</formula>
    </cfRule>
    <cfRule type="cellIs" dxfId="5462" priority="7578" operator="equal">
      <formula>"Alta"</formula>
    </cfRule>
    <cfRule type="cellIs" dxfId="5461" priority="7577" operator="equal">
      <formula>"Muy Alta"</formula>
    </cfRule>
  </conditionalFormatting>
  <conditionalFormatting sqref="R302:T302">
    <cfRule type="cellIs" dxfId="5460" priority="7529" operator="equal">
      <formula>"Muy Alta"</formula>
    </cfRule>
    <cfRule type="cellIs" dxfId="5459" priority="7530" operator="equal">
      <formula>"Alta"</formula>
    </cfRule>
    <cfRule type="cellIs" dxfId="5458" priority="7531" operator="equal">
      <formula>"Media"</formula>
    </cfRule>
  </conditionalFormatting>
  <conditionalFormatting sqref="R312:T312">
    <cfRule type="cellIs" dxfId="5457" priority="7149" operator="equal">
      <formula>"Media"</formula>
    </cfRule>
    <cfRule type="cellIs" dxfId="5456" priority="7148" operator="equal">
      <formula>"Alta"</formula>
    </cfRule>
    <cfRule type="cellIs" dxfId="5455" priority="7147" operator="equal">
      <formula>"Muy Alta"</formula>
    </cfRule>
  </conditionalFormatting>
  <conditionalFormatting sqref="R322:T322">
    <cfRule type="cellIs" dxfId="5454" priority="7050" operator="equal">
      <formula>"Muy Alta"</formula>
    </cfRule>
    <cfRule type="cellIs" dxfId="5453" priority="7051" operator="equal">
      <formula>"Alta"</formula>
    </cfRule>
    <cfRule type="cellIs" dxfId="5452" priority="7052" operator="equal">
      <formula>"Media"</formula>
    </cfRule>
  </conditionalFormatting>
  <conditionalFormatting sqref="R332:T332">
    <cfRule type="cellIs" dxfId="5451" priority="6937" operator="equal">
      <formula>"Media"</formula>
    </cfRule>
    <cfRule type="cellIs" dxfId="5450" priority="6935" operator="equal">
      <formula>"Muy Alta"</formula>
    </cfRule>
    <cfRule type="cellIs" dxfId="5449" priority="6936" operator="equal">
      <formula>"Alta"</formula>
    </cfRule>
  </conditionalFormatting>
  <conditionalFormatting sqref="R342:T342">
    <cfRule type="cellIs" dxfId="5448" priority="6888" operator="equal">
      <formula>"Alta"</formula>
    </cfRule>
    <cfRule type="cellIs" dxfId="5447" priority="6889" operator="equal">
      <formula>"Media"</formula>
    </cfRule>
    <cfRule type="cellIs" dxfId="5446" priority="6887" operator="equal">
      <formula>"Muy Alta"</formula>
    </cfRule>
  </conditionalFormatting>
  <conditionalFormatting sqref="R352:T352">
    <cfRule type="cellIs" dxfId="5445" priority="6840" operator="equal">
      <formula>"Alta"</formula>
    </cfRule>
    <cfRule type="cellIs" dxfId="5444" priority="6839" operator="equal">
      <formula>"Muy Alta"</formula>
    </cfRule>
    <cfRule type="cellIs" dxfId="5443" priority="6841" operator="equal">
      <formula>"Media"</formula>
    </cfRule>
  </conditionalFormatting>
  <conditionalFormatting sqref="R362:T362">
    <cfRule type="cellIs" dxfId="5442" priority="6652" operator="equal">
      <formula>"Muy Alta"</formula>
    </cfRule>
    <cfRule type="cellIs" dxfId="5441" priority="6653" operator="equal">
      <formula>"Alta"</formula>
    </cfRule>
    <cfRule type="cellIs" dxfId="5440" priority="6654" operator="equal">
      <formula>"Media"</formula>
    </cfRule>
  </conditionalFormatting>
  <conditionalFormatting sqref="R372:T372">
    <cfRule type="cellIs" dxfId="5439" priority="6538" operator="equal">
      <formula>"Alta"</formula>
    </cfRule>
    <cfRule type="cellIs" dxfId="5438" priority="6537" operator="equal">
      <formula>"Muy Alta"</formula>
    </cfRule>
    <cfRule type="cellIs" dxfId="5437" priority="6539" operator="equal">
      <formula>"Media"</formula>
    </cfRule>
  </conditionalFormatting>
  <conditionalFormatting sqref="R382:T382">
    <cfRule type="cellIs" dxfId="5436" priority="6489" operator="equal">
      <formula>"Muy Alta"</formula>
    </cfRule>
    <cfRule type="cellIs" dxfId="5435" priority="6490" operator="equal">
      <formula>"Alta"</formula>
    </cfRule>
    <cfRule type="cellIs" dxfId="5434" priority="6491" operator="equal">
      <formula>"Media"</formula>
    </cfRule>
  </conditionalFormatting>
  <conditionalFormatting sqref="R392:T392">
    <cfRule type="cellIs" dxfId="5433" priority="6443" operator="equal">
      <formula>"Media"</formula>
    </cfRule>
    <cfRule type="cellIs" dxfId="5432" priority="6441" operator="equal">
      <formula>"Muy Alta"</formula>
    </cfRule>
    <cfRule type="cellIs" dxfId="5431" priority="6442" operator="equal">
      <formula>"Alta"</formula>
    </cfRule>
  </conditionalFormatting>
  <conditionalFormatting sqref="R402:T402">
    <cfRule type="cellIs" dxfId="5430" priority="6254" operator="equal">
      <formula>"Muy Alta"</formula>
    </cfRule>
    <cfRule type="cellIs" dxfId="5429" priority="6255" operator="equal">
      <formula>"Alta"</formula>
    </cfRule>
    <cfRule type="cellIs" dxfId="5428" priority="6256" operator="equal">
      <formula>"Media"</formula>
    </cfRule>
  </conditionalFormatting>
  <conditionalFormatting sqref="R412:T412">
    <cfRule type="cellIs" dxfId="5427" priority="6171" operator="equal">
      <formula>"Muy Alta"</formula>
    </cfRule>
    <cfRule type="cellIs" dxfId="5426" priority="6172" operator="equal">
      <formula>"Alta"</formula>
    </cfRule>
    <cfRule type="cellIs" dxfId="5425" priority="6173" operator="equal">
      <formula>"Media"</formula>
    </cfRule>
  </conditionalFormatting>
  <conditionalFormatting sqref="R422:T422">
    <cfRule type="cellIs" dxfId="5424" priority="6038" operator="equal">
      <formula>"Media"</formula>
    </cfRule>
    <cfRule type="cellIs" dxfId="5423" priority="6037" operator="equal">
      <formula>"Alta"</formula>
    </cfRule>
    <cfRule type="cellIs" dxfId="5422" priority="6036" operator="equal">
      <formula>"Muy Alta"</formula>
    </cfRule>
  </conditionalFormatting>
  <conditionalFormatting sqref="R432:T432">
    <cfRule type="cellIs" dxfId="5421" priority="5955" operator="equal">
      <formula>"Media"</formula>
    </cfRule>
    <cfRule type="cellIs" dxfId="5420" priority="5953" operator="equal">
      <formula>"Muy Alta"</formula>
    </cfRule>
    <cfRule type="cellIs" dxfId="5419" priority="5954" operator="equal">
      <formula>"Alta"</formula>
    </cfRule>
  </conditionalFormatting>
  <conditionalFormatting sqref="R442:T442">
    <cfRule type="cellIs" dxfId="5418" priority="5719" operator="equal">
      <formula>"Muy Alta"</formula>
    </cfRule>
    <cfRule type="cellIs" dxfId="5417" priority="5721" operator="equal">
      <formula>"Media"</formula>
    </cfRule>
    <cfRule type="cellIs" dxfId="5416" priority="5720" operator="equal">
      <formula>"Alta"</formula>
    </cfRule>
  </conditionalFormatting>
  <conditionalFormatting sqref="R452:T452">
    <cfRule type="cellIs" dxfId="5415" priority="5673" operator="equal">
      <formula>"Media"</formula>
    </cfRule>
    <cfRule type="cellIs" dxfId="5414" priority="5672" operator="equal">
      <formula>"Alta"</formula>
    </cfRule>
    <cfRule type="cellIs" dxfId="5413" priority="5671" operator="equal">
      <formula>"Muy Alta"</formula>
    </cfRule>
  </conditionalFormatting>
  <conditionalFormatting sqref="R462:T462">
    <cfRule type="cellIs" dxfId="5412" priority="5624" operator="equal">
      <formula>"Alta"</formula>
    </cfRule>
    <cfRule type="cellIs" dxfId="5411" priority="5623" operator="equal">
      <formula>"Muy Alta"</formula>
    </cfRule>
    <cfRule type="cellIs" dxfId="5410" priority="5625" operator="equal">
      <formula>"Media"</formula>
    </cfRule>
  </conditionalFormatting>
  <conditionalFormatting sqref="R472:T472">
    <cfRule type="cellIs" dxfId="5409" priority="5576" operator="equal">
      <formula>"Alta"</formula>
    </cfRule>
    <cfRule type="cellIs" dxfId="5408" priority="5577" operator="equal">
      <formula>"Media"</formula>
    </cfRule>
    <cfRule type="cellIs" dxfId="5407" priority="5575" operator="equal">
      <formula>"Muy Alta"</formula>
    </cfRule>
  </conditionalFormatting>
  <conditionalFormatting sqref="R482:T482">
    <cfRule type="cellIs" dxfId="5406" priority="5527" operator="equal">
      <formula>"Muy Alta"</formula>
    </cfRule>
    <cfRule type="cellIs" dxfId="5405" priority="5529" operator="equal">
      <formula>"Media"</formula>
    </cfRule>
    <cfRule type="cellIs" dxfId="5404" priority="5528" operator="equal">
      <formula>"Alta"</formula>
    </cfRule>
  </conditionalFormatting>
  <conditionalFormatting sqref="R492:T492">
    <cfRule type="cellIs" dxfId="5403" priority="5481" operator="equal">
      <formula>"Media"</formula>
    </cfRule>
    <cfRule type="cellIs" dxfId="5402" priority="5479" operator="equal">
      <formula>"Muy Alta"</formula>
    </cfRule>
    <cfRule type="cellIs" dxfId="5401" priority="5480" operator="equal">
      <formula>"Alta"</formula>
    </cfRule>
  </conditionalFormatting>
  <conditionalFormatting sqref="R502:T502">
    <cfRule type="cellIs" dxfId="5400" priority="5254" operator="equal">
      <formula>"Alta"</formula>
    </cfRule>
    <cfRule type="cellIs" dxfId="5399" priority="5255" operator="equal">
      <formula>"Media"</formula>
    </cfRule>
    <cfRule type="cellIs" dxfId="5398" priority="5253" operator="equal">
      <formula>"Muy Alta"</formula>
    </cfRule>
  </conditionalFormatting>
  <conditionalFormatting sqref="R512:T512">
    <cfRule type="cellIs" dxfId="5397" priority="5205" operator="equal">
      <formula>"Muy Alta"</formula>
    </cfRule>
    <cfRule type="cellIs" dxfId="5396" priority="5206" operator="equal">
      <formula>"Alta"</formula>
    </cfRule>
    <cfRule type="cellIs" dxfId="5395" priority="5207" operator="equal">
      <formula>"Media"</formula>
    </cfRule>
  </conditionalFormatting>
  <conditionalFormatting sqref="R522:T522">
    <cfRule type="cellIs" dxfId="5394" priority="5158" operator="equal">
      <formula>"Alta"</formula>
    </cfRule>
    <cfRule type="cellIs" dxfId="5393" priority="5159" operator="equal">
      <formula>"Media"</formula>
    </cfRule>
    <cfRule type="cellIs" dxfId="5392" priority="5157" operator="equal">
      <formula>"Muy Alta"</formula>
    </cfRule>
  </conditionalFormatting>
  <conditionalFormatting sqref="R532:T532">
    <cfRule type="cellIs" dxfId="5391" priority="5002" operator="equal">
      <formula>"Muy Alta"</formula>
    </cfRule>
    <cfRule type="cellIs" dxfId="5390" priority="5003" operator="equal">
      <formula>"Alta"</formula>
    </cfRule>
    <cfRule type="cellIs" dxfId="5389" priority="5004" operator="equal">
      <formula>"Media"</formula>
    </cfRule>
  </conditionalFormatting>
  <conditionalFormatting sqref="R542:T542">
    <cfRule type="cellIs" dxfId="5388" priority="4919" operator="equal">
      <formula>"Muy Alta"</formula>
    </cfRule>
    <cfRule type="cellIs" dxfId="5387" priority="4921" operator="equal">
      <formula>"Media"</formula>
    </cfRule>
    <cfRule type="cellIs" dxfId="5386" priority="4920" operator="equal">
      <formula>"Alta"</formula>
    </cfRule>
  </conditionalFormatting>
  <conditionalFormatting sqref="R552:T552">
    <cfRule type="cellIs" dxfId="5385" priority="4766" operator="equal">
      <formula>"Alta"</formula>
    </cfRule>
    <cfRule type="cellIs" dxfId="5384" priority="4767" operator="equal">
      <formula>"Media"</formula>
    </cfRule>
    <cfRule type="cellIs" dxfId="5383" priority="4765" operator="equal">
      <formula>"Muy Alta"</formula>
    </cfRule>
  </conditionalFormatting>
  <conditionalFormatting sqref="R562:T562">
    <cfRule type="cellIs" dxfId="5382" priority="4637" operator="equal">
      <formula>"Muy Alta"</formula>
    </cfRule>
    <cfRule type="cellIs" dxfId="5381" priority="4638" operator="equal">
      <formula>"Alta"</formula>
    </cfRule>
    <cfRule type="cellIs" dxfId="5380" priority="4639" operator="equal">
      <formula>"Media"</formula>
    </cfRule>
  </conditionalFormatting>
  <conditionalFormatting sqref="R572:T572">
    <cfRule type="cellIs" dxfId="5379" priority="4589" operator="equal">
      <formula>"Muy Alta"</formula>
    </cfRule>
    <cfRule type="cellIs" dxfId="5378" priority="4590" operator="equal">
      <formula>"Alta"</formula>
    </cfRule>
    <cfRule type="cellIs" dxfId="5377" priority="4591" operator="equal">
      <formula>"Media"</formula>
    </cfRule>
  </conditionalFormatting>
  <conditionalFormatting sqref="R582:T582">
    <cfRule type="cellIs" dxfId="5376" priority="4403" operator="equal">
      <formula>"Muy Alta"</formula>
    </cfRule>
    <cfRule type="cellIs" dxfId="5375" priority="4405" operator="equal">
      <formula>"Media"</formula>
    </cfRule>
    <cfRule type="cellIs" dxfId="5374" priority="4404" operator="equal">
      <formula>"Alta"</formula>
    </cfRule>
  </conditionalFormatting>
  <conditionalFormatting sqref="R592:T592">
    <cfRule type="cellIs" dxfId="5373" priority="4356" operator="equal">
      <formula>"Alta"</formula>
    </cfRule>
    <cfRule type="cellIs" dxfId="5372" priority="4355" operator="equal">
      <formula>"Muy Alta"</formula>
    </cfRule>
    <cfRule type="cellIs" dxfId="5371" priority="4357" operator="equal">
      <formula>"Media"</formula>
    </cfRule>
  </conditionalFormatting>
  <conditionalFormatting sqref="R602:T602">
    <cfRule type="cellIs" dxfId="5370" priority="4309" operator="equal">
      <formula>"Media"</formula>
    </cfRule>
    <cfRule type="cellIs" dxfId="5369" priority="4308" operator="equal">
      <formula>"Alta"</formula>
    </cfRule>
    <cfRule type="cellIs" dxfId="5368" priority="4307" operator="equal">
      <formula>"Muy Alta"</formula>
    </cfRule>
  </conditionalFormatting>
  <conditionalFormatting sqref="R612:T612">
    <cfRule type="cellIs" dxfId="5367" priority="4069" operator="equal">
      <formula>"Muy Alta"</formula>
    </cfRule>
    <cfRule type="cellIs" dxfId="5366" priority="4071" operator="equal">
      <formula>"Media"</formula>
    </cfRule>
    <cfRule type="cellIs" dxfId="5365" priority="4070" operator="equal">
      <formula>"Alta"</formula>
    </cfRule>
  </conditionalFormatting>
  <conditionalFormatting sqref="R622:T622">
    <cfRule type="cellIs" dxfId="5364" priority="3973" operator="equal">
      <formula>"Alta"</formula>
    </cfRule>
    <cfRule type="cellIs" dxfId="5363" priority="3974" operator="equal">
      <formula>"Media"</formula>
    </cfRule>
    <cfRule type="cellIs" dxfId="5362" priority="3972" operator="equal">
      <formula>"Muy Alta"</formula>
    </cfRule>
  </conditionalFormatting>
  <conditionalFormatting sqref="R632:T632">
    <cfRule type="cellIs" dxfId="5361" priority="3873" operator="equal">
      <formula>"Muy Alta"</formula>
    </cfRule>
    <cfRule type="cellIs" dxfId="5360" priority="3874" operator="equal">
      <formula>"Alta"</formula>
    </cfRule>
    <cfRule type="cellIs" dxfId="5359" priority="3875" operator="equal">
      <formula>"Media"</formula>
    </cfRule>
  </conditionalFormatting>
  <conditionalFormatting sqref="R642:T642">
    <cfRule type="cellIs" dxfId="5358" priority="3826" operator="equal">
      <formula>"Alta"</formula>
    </cfRule>
    <cfRule type="cellIs" dxfId="5357" priority="3825" operator="equal">
      <formula>"Muy Alta"</formula>
    </cfRule>
    <cfRule type="cellIs" dxfId="5356" priority="3827" operator="equal">
      <formula>"Media"</formula>
    </cfRule>
  </conditionalFormatting>
  <conditionalFormatting sqref="R652:T652">
    <cfRule type="cellIs" dxfId="5355" priority="3650" operator="equal">
      <formula>"Alta"</formula>
    </cfRule>
    <cfRule type="cellIs" dxfId="5354" priority="3649" operator="equal">
      <formula>"Muy Alta"</formula>
    </cfRule>
    <cfRule type="cellIs" dxfId="5353" priority="3651" operator="equal">
      <formula>"Media"</formula>
    </cfRule>
  </conditionalFormatting>
  <conditionalFormatting sqref="R662:T662">
    <cfRule type="cellIs" dxfId="5352" priority="3454" operator="equal">
      <formula>"Alta"</formula>
    </cfRule>
    <cfRule type="cellIs" dxfId="5351" priority="3453" operator="equal">
      <formula>"Muy Alta"</formula>
    </cfRule>
    <cfRule type="cellIs" dxfId="5350" priority="3455" operator="equal">
      <formula>"Media"</formula>
    </cfRule>
  </conditionalFormatting>
  <conditionalFormatting sqref="R672:T672">
    <cfRule type="cellIs" dxfId="5349" priority="3406" operator="equal">
      <formula>"Alta"</formula>
    </cfRule>
    <cfRule type="cellIs" dxfId="5348" priority="3407" operator="equal">
      <formula>"Media"</formula>
    </cfRule>
    <cfRule type="cellIs" dxfId="5347" priority="3405" operator="equal">
      <formula>"Muy Alta"</formula>
    </cfRule>
  </conditionalFormatting>
  <conditionalFormatting sqref="R682:T682">
    <cfRule type="cellIs" dxfId="5346" priority="3357" operator="equal">
      <formula>"Muy Alta"</formula>
    </cfRule>
    <cfRule type="cellIs" dxfId="5345" priority="3358" operator="equal">
      <formula>"Alta"</formula>
    </cfRule>
    <cfRule type="cellIs" dxfId="5344" priority="3359" operator="equal">
      <formula>"Media"</formula>
    </cfRule>
  </conditionalFormatting>
  <conditionalFormatting sqref="R692:T692">
    <cfRule type="cellIs" dxfId="5343" priority="3310" operator="equal">
      <formula>"Alta"</formula>
    </cfRule>
    <cfRule type="cellIs" dxfId="5342" priority="3309" operator="equal">
      <formula>"Muy Alta"</formula>
    </cfRule>
    <cfRule type="cellIs" dxfId="5341" priority="3311" operator="equal">
      <formula>"Media"</formula>
    </cfRule>
  </conditionalFormatting>
  <conditionalFormatting sqref="R702:T702">
    <cfRule type="cellIs" dxfId="5340" priority="3263" operator="equal">
      <formula>"Media"</formula>
    </cfRule>
    <cfRule type="cellIs" dxfId="5339" priority="3261" operator="equal">
      <formula>"Muy Alta"</formula>
    </cfRule>
    <cfRule type="cellIs" dxfId="5338" priority="3262" operator="equal">
      <formula>"Alta"</formula>
    </cfRule>
  </conditionalFormatting>
  <conditionalFormatting sqref="R712:T712">
    <cfRule type="cellIs" dxfId="5337" priority="3215" operator="equal">
      <formula>"Media"</formula>
    </cfRule>
    <cfRule type="cellIs" dxfId="5336" priority="3213" operator="equal">
      <formula>"Muy Alta"</formula>
    </cfRule>
    <cfRule type="cellIs" dxfId="5335" priority="3214" operator="equal">
      <formula>"Alta"</formula>
    </cfRule>
  </conditionalFormatting>
  <conditionalFormatting sqref="R722:T722">
    <cfRule type="cellIs" dxfId="5334" priority="2831" operator="equal">
      <formula>"Muy Alta"</formula>
    </cfRule>
    <cfRule type="cellIs" dxfId="5333" priority="2832" operator="equal">
      <formula>"Alta"</formula>
    </cfRule>
    <cfRule type="cellIs" dxfId="5332" priority="2833" operator="equal">
      <formula>"Media"</formula>
    </cfRule>
  </conditionalFormatting>
  <conditionalFormatting sqref="R732:T732">
    <cfRule type="cellIs" dxfId="5331" priority="2783" operator="equal">
      <formula>"Muy Alta"</formula>
    </cfRule>
    <cfRule type="cellIs" dxfId="5330" priority="2785" operator="equal">
      <formula>"Media"</formula>
    </cfRule>
    <cfRule type="cellIs" dxfId="5329" priority="2784" operator="equal">
      <formula>"Alta"</formula>
    </cfRule>
  </conditionalFormatting>
  <conditionalFormatting sqref="R742:T742">
    <cfRule type="cellIs" dxfId="5328" priority="2735" operator="equal">
      <formula>"Muy Alta"</formula>
    </cfRule>
    <cfRule type="cellIs" dxfId="5327" priority="2736" operator="equal">
      <formula>"Alta"</formula>
    </cfRule>
    <cfRule type="cellIs" dxfId="5326" priority="2737" operator="equal">
      <formula>"Media"</formula>
    </cfRule>
  </conditionalFormatting>
  <conditionalFormatting sqref="R752:T752">
    <cfRule type="cellIs" dxfId="5325" priority="2687" operator="equal">
      <formula>"Muy Alta"</formula>
    </cfRule>
    <cfRule type="cellIs" dxfId="5324" priority="2688" operator="equal">
      <formula>"Alta"</formula>
    </cfRule>
    <cfRule type="cellIs" dxfId="5323" priority="2689" operator="equal">
      <formula>"Media"</formula>
    </cfRule>
  </conditionalFormatting>
  <conditionalFormatting sqref="R762:T762">
    <cfRule type="cellIs" dxfId="5322" priority="2641" operator="equal">
      <formula>"Media"</formula>
    </cfRule>
    <cfRule type="cellIs" dxfId="5321" priority="2639" operator="equal">
      <formula>"Muy Alta"</formula>
    </cfRule>
    <cfRule type="cellIs" dxfId="5320" priority="2640" operator="equal">
      <formula>"Alta"</formula>
    </cfRule>
  </conditionalFormatting>
  <conditionalFormatting sqref="R772:T772">
    <cfRule type="cellIs" dxfId="5319" priority="2593" operator="equal">
      <formula>"Media"</formula>
    </cfRule>
    <cfRule type="cellIs" dxfId="5318" priority="2591" operator="equal">
      <formula>"Muy Alta"</formula>
    </cfRule>
    <cfRule type="cellIs" dxfId="5317" priority="2592" operator="equal">
      <formula>"Alta"</formula>
    </cfRule>
  </conditionalFormatting>
  <conditionalFormatting sqref="R782:T782">
    <cfRule type="cellIs" dxfId="5316" priority="2545" operator="equal">
      <formula>"Media"</formula>
    </cfRule>
    <cfRule type="cellIs" dxfId="5315" priority="2544" operator="equal">
      <formula>"Alta"</formula>
    </cfRule>
    <cfRule type="cellIs" dxfId="5314" priority="2543" operator="equal">
      <formula>"Muy Alta"</formula>
    </cfRule>
  </conditionalFormatting>
  <conditionalFormatting sqref="R792:T792">
    <cfRule type="cellIs" dxfId="5313" priority="2497" operator="equal">
      <formula>"Media"</formula>
    </cfRule>
    <cfRule type="cellIs" dxfId="5312" priority="2496" operator="equal">
      <formula>"Alta"</formula>
    </cfRule>
    <cfRule type="cellIs" dxfId="5311" priority="2495" operator="equal">
      <formula>"Muy Alta"</formula>
    </cfRule>
  </conditionalFormatting>
  <conditionalFormatting sqref="R802:T802">
    <cfRule type="cellIs" dxfId="5310" priority="2448" operator="equal">
      <formula>"Alta"</formula>
    </cfRule>
    <cfRule type="cellIs" dxfId="5309" priority="2449" operator="equal">
      <formula>"Media"</formula>
    </cfRule>
    <cfRule type="cellIs" dxfId="5308" priority="2447" operator="equal">
      <formula>"Muy Alta"</formula>
    </cfRule>
  </conditionalFormatting>
  <conditionalFormatting sqref="R812:T812">
    <cfRule type="cellIs" dxfId="5307" priority="2007" operator="equal">
      <formula>"Muy Alta"</formula>
    </cfRule>
    <cfRule type="cellIs" dxfId="5306" priority="2008" operator="equal">
      <formula>"Alta"</formula>
    </cfRule>
    <cfRule type="cellIs" dxfId="5305" priority="2009" operator="equal">
      <formula>"Media"</formula>
    </cfRule>
  </conditionalFormatting>
  <conditionalFormatting sqref="R822:T822">
    <cfRule type="cellIs" dxfId="5304" priority="1961" operator="equal">
      <formula>"Media"</formula>
    </cfRule>
    <cfRule type="cellIs" dxfId="5303" priority="1960" operator="equal">
      <formula>"Alta"</formula>
    </cfRule>
    <cfRule type="cellIs" dxfId="5302" priority="1959" operator="equal">
      <formula>"Muy Alta"</formula>
    </cfRule>
  </conditionalFormatting>
  <conditionalFormatting sqref="R832:T832">
    <cfRule type="cellIs" dxfId="5301" priority="1911" operator="equal">
      <formula>"Muy Alta"</formula>
    </cfRule>
    <cfRule type="cellIs" dxfId="5300" priority="1912" operator="equal">
      <formula>"Alta"</formula>
    </cfRule>
    <cfRule type="cellIs" dxfId="5299" priority="1913" operator="equal">
      <formula>"Media"</formula>
    </cfRule>
  </conditionalFormatting>
  <conditionalFormatting sqref="R842:T842">
    <cfRule type="cellIs" dxfId="5298" priority="1863" operator="equal">
      <formula>"Muy Alta"</formula>
    </cfRule>
    <cfRule type="cellIs" dxfId="5297" priority="1864" operator="equal">
      <formula>"Alta"</formula>
    </cfRule>
    <cfRule type="cellIs" dxfId="5296" priority="1865" operator="equal">
      <formula>"Media"</formula>
    </cfRule>
  </conditionalFormatting>
  <conditionalFormatting sqref="R852:T852">
    <cfRule type="cellIs" dxfId="5295" priority="1815" operator="equal">
      <formula>"Muy Alta"</formula>
    </cfRule>
    <cfRule type="cellIs" dxfId="5294" priority="1817" operator="equal">
      <formula>"Media"</formula>
    </cfRule>
    <cfRule type="cellIs" dxfId="5293" priority="1816" operator="equal">
      <formula>"Alta"</formula>
    </cfRule>
  </conditionalFormatting>
  <conditionalFormatting sqref="R862:T862">
    <cfRule type="cellIs" dxfId="5292" priority="1767" operator="equal">
      <formula>"Muy Alta"</formula>
    </cfRule>
    <cfRule type="cellIs" dxfId="5291" priority="1768" operator="equal">
      <formula>"Alta"</formula>
    </cfRule>
    <cfRule type="cellIs" dxfId="5290" priority="1769" operator="equal">
      <formula>"Media"</formula>
    </cfRule>
  </conditionalFormatting>
  <conditionalFormatting sqref="R872:T872">
    <cfRule type="cellIs" dxfId="5289" priority="1720" operator="equal">
      <formula>"Alta"</formula>
    </cfRule>
    <cfRule type="cellIs" dxfId="5288" priority="1719" operator="equal">
      <formula>"Muy Alta"</formula>
    </cfRule>
    <cfRule type="cellIs" dxfId="5287" priority="1721" operator="equal">
      <formula>"Media"</formula>
    </cfRule>
  </conditionalFormatting>
  <conditionalFormatting sqref="R882:T882">
    <cfRule type="cellIs" dxfId="5286" priority="1347" operator="equal">
      <formula>"Muy Alta"</formula>
    </cfRule>
    <cfRule type="cellIs" dxfId="5285" priority="1348" operator="equal">
      <formula>"Alta"</formula>
    </cfRule>
    <cfRule type="cellIs" dxfId="5284" priority="1349" operator="equal">
      <formula>"Media"</formula>
    </cfRule>
  </conditionalFormatting>
  <conditionalFormatting sqref="R892:T892">
    <cfRule type="cellIs" dxfId="5283" priority="1300" operator="equal">
      <formula>"Alta"</formula>
    </cfRule>
    <cfRule type="cellIs" dxfId="5282" priority="1299" operator="equal">
      <formula>"Muy Alta"</formula>
    </cfRule>
    <cfRule type="cellIs" dxfId="5281" priority="1301" operator="equal">
      <formula>"Media"</formula>
    </cfRule>
  </conditionalFormatting>
  <conditionalFormatting sqref="R902:T902">
    <cfRule type="cellIs" dxfId="5280" priority="1253" operator="equal">
      <formula>"Media"</formula>
    </cfRule>
    <cfRule type="cellIs" dxfId="5279" priority="1252" operator="equal">
      <formula>"Alta"</formula>
    </cfRule>
    <cfRule type="cellIs" dxfId="5278" priority="1251" operator="equal">
      <formula>"Muy Alta"</formula>
    </cfRule>
  </conditionalFormatting>
  <conditionalFormatting sqref="R912:T912">
    <cfRule type="cellIs" dxfId="5277" priority="1203" operator="equal">
      <formula>"Muy Alta"</formula>
    </cfRule>
    <cfRule type="cellIs" dxfId="5276" priority="1205" operator="equal">
      <formula>"Media"</formula>
    </cfRule>
    <cfRule type="cellIs" dxfId="5275" priority="1204" operator="equal">
      <formula>"Alta"</formula>
    </cfRule>
  </conditionalFormatting>
  <conditionalFormatting sqref="R922:T922">
    <cfRule type="cellIs" dxfId="5274" priority="1157" operator="equal">
      <formula>"Media"</formula>
    </cfRule>
    <cfRule type="cellIs" dxfId="5273" priority="1156" operator="equal">
      <formula>"Alta"</formula>
    </cfRule>
    <cfRule type="cellIs" dxfId="5272" priority="1155" operator="equal">
      <formula>"Muy Alta"</formula>
    </cfRule>
  </conditionalFormatting>
  <conditionalFormatting sqref="R932:T932">
    <cfRule type="cellIs" dxfId="5271" priority="1108" operator="equal">
      <formula>"Alta"</formula>
    </cfRule>
    <cfRule type="cellIs" dxfId="5270" priority="1109" operator="equal">
      <formula>"Media"</formula>
    </cfRule>
    <cfRule type="cellIs" dxfId="5269" priority="1107" operator="equal">
      <formula>"Muy Alta"</formula>
    </cfRule>
  </conditionalFormatting>
  <conditionalFormatting sqref="R942:T942">
    <cfRule type="cellIs" dxfId="5268" priority="874" operator="equal">
      <formula>"Media"</formula>
    </cfRule>
    <cfRule type="cellIs" dxfId="5267" priority="872" operator="equal">
      <formula>"Muy Alta"</formula>
    </cfRule>
    <cfRule type="cellIs" dxfId="5266" priority="873" operator="equal">
      <formula>"Alta"</formula>
    </cfRule>
  </conditionalFormatting>
  <conditionalFormatting sqref="R952:T952">
    <cfRule type="cellIs" dxfId="5265" priority="789" operator="equal">
      <formula>"Muy Alta"</formula>
    </cfRule>
    <cfRule type="cellIs" dxfId="5264" priority="791" operator="equal">
      <formula>"Media"</formula>
    </cfRule>
    <cfRule type="cellIs" dxfId="5263" priority="790" operator="equal">
      <formula>"Alta"</formula>
    </cfRule>
  </conditionalFormatting>
  <conditionalFormatting sqref="R962:T962">
    <cfRule type="cellIs" dxfId="5262" priority="636" operator="equal">
      <formula>"Alta"</formula>
    </cfRule>
    <cfRule type="cellIs" dxfId="5261" priority="635" operator="equal">
      <formula>"Muy Alta"</formula>
    </cfRule>
    <cfRule type="cellIs" dxfId="5260" priority="637" operator="equal">
      <formula>"Media"</formula>
    </cfRule>
  </conditionalFormatting>
  <conditionalFormatting sqref="R972:T972">
    <cfRule type="cellIs" dxfId="5259" priority="493" operator="equal">
      <formula>"Media"</formula>
    </cfRule>
    <cfRule type="cellIs" dxfId="5258" priority="492" operator="equal">
      <formula>"Alta"</formula>
    </cfRule>
    <cfRule type="cellIs" dxfId="5257" priority="491" operator="equal">
      <formula>"Muy Alta"</formula>
    </cfRule>
  </conditionalFormatting>
  <conditionalFormatting sqref="R982:T982">
    <cfRule type="cellIs" dxfId="5256" priority="444" operator="equal">
      <formula>"Alta"</formula>
    </cfRule>
    <cfRule type="cellIs" dxfId="5255" priority="445" operator="equal">
      <formula>"Media"</formula>
    </cfRule>
    <cfRule type="cellIs" dxfId="5254" priority="443" operator="equal">
      <formula>"Muy Alta"</formula>
    </cfRule>
  </conditionalFormatting>
  <conditionalFormatting sqref="R992:T992">
    <cfRule type="cellIs" dxfId="5253" priority="395" operator="equal">
      <formula>"Muy Alta"</formula>
    </cfRule>
    <cfRule type="cellIs" dxfId="5252" priority="396" operator="equal">
      <formula>"Alta"</formula>
    </cfRule>
    <cfRule type="cellIs" dxfId="5251" priority="397" operator="equal">
      <formula>"Media"</formula>
    </cfRule>
  </conditionalFormatting>
  <conditionalFormatting sqref="R1002:T1002">
    <cfRule type="cellIs" dxfId="5250" priority="212" operator="equal">
      <formula>"Alta"</formula>
    </cfRule>
    <cfRule type="cellIs" dxfId="5249" priority="213" operator="equal">
      <formula>"Media"</formula>
    </cfRule>
    <cfRule type="cellIs" dxfId="5248" priority="211" operator="equal">
      <formula>"Muy Alta"</formula>
    </cfRule>
  </conditionalFormatting>
  <conditionalFormatting sqref="R1012:T1012">
    <cfRule type="cellIs" dxfId="5247" priority="164" operator="equal">
      <formula>"Alta"</formula>
    </cfRule>
    <cfRule type="cellIs" dxfId="5246" priority="163" operator="equal">
      <formula>"Muy Alta"</formula>
    </cfRule>
    <cfRule type="cellIs" dxfId="5245" priority="165" operator="equal">
      <formula>"Media"</formula>
    </cfRule>
  </conditionalFormatting>
  <conditionalFormatting sqref="S12:T12">
    <cfRule type="cellIs" dxfId="5244" priority="10162" operator="equal">
      <formula>"Muy Baja"</formula>
    </cfRule>
    <cfRule type="cellIs" dxfId="5243" priority="10161" operator="equal">
      <formula>"Baja"</formula>
    </cfRule>
  </conditionalFormatting>
  <conditionalFormatting sqref="S22:T22">
    <cfRule type="cellIs" dxfId="5242" priority="10079" operator="equal">
      <formula>"Muy Baja"</formula>
    </cfRule>
    <cfRule type="cellIs" dxfId="5241" priority="10078" operator="equal">
      <formula>"Baja"</formula>
    </cfRule>
  </conditionalFormatting>
  <conditionalFormatting sqref="S32:T32">
    <cfRule type="cellIs" dxfId="5240" priority="9941" operator="equal">
      <formula>"Baja"</formula>
    </cfRule>
    <cfRule type="cellIs" dxfId="5239" priority="9942" operator="equal">
      <formula>"Muy Baja"</formula>
    </cfRule>
  </conditionalFormatting>
  <conditionalFormatting sqref="S42:T42">
    <cfRule type="cellIs" dxfId="5238" priority="9827" operator="equal">
      <formula>"Muy Baja"</formula>
    </cfRule>
    <cfRule type="cellIs" dxfId="5237" priority="9826" operator="equal">
      <formula>"Baja"</formula>
    </cfRule>
  </conditionalFormatting>
  <conditionalFormatting sqref="S52:T52">
    <cfRule type="cellIs" dxfId="5236" priority="9779" operator="equal">
      <formula>"Muy Baja"</formula>
    </cfRule>
    <cfRule type="cellIs" dxfId="5235" priority="9778" operator="equal">
      <formula>"Baja"</formula>
    </cfRule>
  </conditionalFormatting>
  <conditionalFormatting sqref="S62:T62">
    <cfRule type="cellIs" dxfId="5234" priority="9730" operator="equal">
      <formula>"Baja"</formula>
    </cfRule>
    <cfRule type="cellIs" dxfId="5233" priority="9731" operator="equal">
      <formula>"Muy Baja"</formula>
    </cfRule>
  </conditionalFormatting>
  <conditionalFormatting sqref="S72:T72">
    <cfRule type="cellIs" dxfId="5232" priority="9544" operator="equal">
      <formula>"Muy Baja"</formula>
    </cfRule>
    <cfRule type="cellIs" dxfId="5231" priority="9543" operator="equal">
      <formula>"Baja"</formula>
    </cfRule>
  </conditionalFormatting>
  <conditionalFormatting sqref="S82:T82">
    <cfRule type="cellIs" dxfId="5230" priority="9413" operator="equal">
      <formula>"Muy Baja"</formula>
    </cfRule>
    <cfRule type="cellIs" dxfId="5229" priority="9412" operator="equal">
      <formula>"Baja"</formula>
    </cfRule>
  </conditionalFormatting>
  <conditionalFormatting sqref="S92:T92">
    <cfRule type="cellIs" dxfId="5228" priority="9364" operator="equal">
      <formula>"Baja"</formula>
    </cfRule>
    <cfRule type="cellIs" dxfId="5227" priority="9365" operator="equal">
      <formula>"Muy Baja"</formula>
    </cfRule>
  </conditionalFormatting>
  <conditionalFormatting sqref="S102:T102">
    <cfRule type="cellIs" dxfId="5226" priority="9317" operator="equal">
      <formula>"Muy Baja"</formula>
    </cfRule>
    <cfRule type="cellIs" dxfId="5225" priority="9316" operator="equal">
      <formula>"Baja"</formula>
    </cfRule>
  </conditionalFormatting>
  <conditionalFormatting sqref="S112:T112">
    <cfRule type="cellIs" dxfId="5224" priority="9269" operator="equal">
      <formula>"Muy Baja"</formula>
    </cfRule>
    <cfRule type="cellIs" dxfId="5223" priority="9268" operator="equal">
      <formula>"Baja"</formula>
    </cfRule>
  </conditionalFormatting>
  <conditionalFormatting sqref="S122:T122">
    <cfRule type="cellIs" dxfId="5222" priority="9052" operator="equal">
      <formula>"Muy Baja"</formula>
    </cfRule>
    <cfRule type="cellIs" dxfId="5221" priority="9051" operator="equal">
      <formula>"Baja"</formula>
    </cfRule>
  </conditionalFormatting>
  <conditionalFormatting sqref="S132:T132">
    <cfRule type="cellIs" dxfId="5220" priority="8952" operator="equal">
      <formula>"Baja"</formula>
    </cfRule>
    <cfRule type="cellIs" dxfId="5219" priority="8953" operator="equal">
      <formula>"Muy Baja"</formula>
    </cfRule>
  </conditionalFormatting>
  <conditionalFormatting sqref="S142:T142">
    <cfRule type="cellIs" dxfId="5218" priority="8905" operator="equal">
      <formula>"Muy Baja"</formula>
    </cfRule>
    <cfRule type="cellIs" dxfId="5217" priority="8904" operator="equal">
      <formula>"Baja"</formula>
    </cfRule>
  </conditionalFormatting>
  <conditionalFormatting sqref="S152:T152">
    <cfRule type="cellIs" dxfId="5216" priority="8744" operator="equal">
      <formula>"Muy Baja"</formula>
    </cfRule>
    <cfRule type="cellIs" dxfId="5215" priority="8743" operator="equal">
      <formula>"Baja"</formula>
    </cfRule>
  </conditionalFormatting>
  <conditionalFormatting sqref="S162:T162">
    <cfRule type="cellIs" dxfId="5214" priority="8644" operator="equal">
      <formula>"Baja"</formula>
    </cfRule>
    <cfRule type="cellIs" dxfId="5213" priority="8645" operator="equal">
      <formula>"Muy Baja"</formula>
    </cfRule>
  </conditionalFormatting>
  <conditionalFormatting sqref="S172:T172">
    <cfRule type="cellIs" dxfId="5212" priority="8597" operator="equal">
      <formula>"Muy Baja"</formula>
    </cfRule>
    <cfRule type="cellIs" dxfId="5211" priority="8596" operator="equal">
      <formula>"Baja"</formula>
    </cfRule>
  </conditionalFormatting>
  <conditionalFormatting sqref="S182:T182">
    <cfRule type="cellIs" dxfId="5210" priority="8435" operator="equal">
      <formula>"Baja"</formula>
    </cfRule>
    <cfRule type="cellIs" dxfId="5209" priority="8436" operator="equal">
      <formula>"Muy Baja"</formula>
    </cfRule>
  </conditionalFormatting>
  <conditionalFormatting sqref="S192:T192">
    <cfRule type="cellIs" dxfId="5208" priority="8337" operator="equal">
      <formula>"Muy Baja"</formula>
    </cfRule>
    <cfRule type="cellIs" dxfId="5207" priority="8336" operator="equal">
      <formula>"Baja"</formula>
    </cfRule>
  </conditionalFormatting>
  <conditionalFormatting sqref="S202:T202">
    <cfRule type="cellIs" dxfId="5206" priority="8289" operator="equal">
      <formula>"Muy Baja"</formula>
    </cfRule>
    <cfRule type="cellIs" dxfId="5205" priority="8288" operator="equal">
      <formula>"Baja"</formula>
    </cfRule>
  </conditionalFormatting>
  <conditionalFormatting sqref="S212:T212">
    <cfRule type="cellIs" dxfId="5204" priority="8128" operator="equal">
      <formula>"Muy Baja"</formula>
    </cfRule>
    <cfRule type="cellIs" dxfId="5203" priority="8127" operator="equal">
      <formula>"Baja"</formula>
    </cfRule>
  </conditionalFormatting>
  <conditionalFormatting sqref="S222:T222">
    <cfRule type="cellIs" dxfId="5202" priority="7917" operator="equal">
      <formula>"Muy Baja"</formula>
    </cfRule>
    <cfRule type="cellIs" dxfId="5201" priority="7916" operator="equal">
      <formula>"Baja"</formula>
    </cfRule>
  </conditionalFormatting>
  <conditionalFormatting sqref="S232:T232">
    <cfRule type="cellIs" dxfId="5200" priority="7868" operator="equal">
      <formula>"Baja"</formula>
    </cfRule>
    <cfRule type="cellIs" dxfId="5199" priority="7869" operator="equal">
      <formula>"Muy Baja"</formula>
    </cfRule>
  </conditionalFormatting>
  <conditionalFormatting sqref="S242:T242">
    <cfRule type="cellIs" dxfId="5198" priority="7821" operator="equal">
      <formula>"Muy Baja"</formula>
    </cfRule>
    <cfRule type="cellIs" dxfId="5197" priority="7820" operator="equal">
      <formula>"Baja"</formula>
    </cfRule>
  </conditionalFormatting>
  <conditionalFormatting sqref="S252:T252">
    <cfRule type="cellIs" dxfId="5196" priority="7772" operator="equal">
      <formula>"Baja"</formula>
    </cfRule>
    <cfRule type="cellIs" dxfId="5195" priority="7773" operator="equal">
      <formula>"Muy Baja"</formula>
    </cfRule>
  </conditionalFormatting>
  <conditionalFormatting sqref="S262:T262">
    <cfRule type="cellIs" dxfId="5194" priority="7724" operator="equal">
      <formula>"Baja"</formula>
    </cfRule>
    <cfRule type="cellIs" dxfId="5193" priority="7725" operator="equal">
      <formula>"Muy Baja"</formula>
    </cfRule>
  </conditionalFormatting>
  <conditionalFormatting sqref="S272:T272">
    <cfRule type="cellIs" dxfId="5192" priority="7676" operator="equal">
      <formula>"Baja"</formula>
    </cfRule>
    <cfRule type="cellIs" dxfId="5191" priority="7677" operator="equal">
      <formula>"Muy Baja"</formula>
    </cfRule>
  </conditionalFormatting>
  <conditionalFormatting sqref="S282:T282">
    <cfRule type="cellIs" dxfId="5190" priority="7628" operator="equal">
      <formula>"Baja"</formula>
    </cfRule>
    <cfRule type="cellIs" dxfId="5189" priority="7629" operator="equal">
      <formula>"Muy Baja"</formula>
    </cfRule>
  </conditionalFormatting>
  <conditionalFormatting sqref="S292:T292">
    <cfRule type="cellIs" dxfId="5188" priority="7580" operator="equal">
      <formula>"Baja"</formula>
    </cfRule>
    <cfRule type="cellIs" dxfId="5187" priority="7581" operator="equal">
      <formula>"Muy Baja"</formula>
    </cfRule>
  </conditionalFormatting>
  <conditionalFormatting sqref="S302:T302">
    <cfRule type="cellIs" dxfId="5186" priority="7533" operator="equal">
      <formula>"Muy Baja"</formula>
    </cfRule>
    <cfRule type="cellIs" dxfId="5185" priority="7532" operator="equal">
      <formula>"Baja"</formula>
    </cfRule>
  </conditionalFormatting>
  <conditionalFormatting sqref="S312:T312">
    <cfRule type="cellIs" dxfId="5184" priority="7150" operator="equal">
      <formula>"Baja"</formula>
    </cfRule>
    <cfRule type="cellIs" dxfId="5183" priority="7151" operator="equal">
      <formula>"Muy Baja"</formula>
    </cfRule>
  </conditionalFormatting>
  <conditionalFormatting sqref="S322:T322">
    <cfRule type="cellIs" dxfId="5182" priority="7054" operator="equal">
      <formula>"Muy Baja"</formula>
    </cfRule>
    <cfRule type="cellIs" dxfId="5181" priority="7053" operator="equal">
      <formula>"Baja"</formula>
    </cfRule>
  </conditionalFormatting>
  <conditionalFormatting sqref="S332:T332">
    <cfRule type="cellIs" dxfId="5180" priority="6938" operator="equal">
      <formula>"Baja"</formula>
    </cfRule>
    <cfRule type="cellIs" dxfId="5179" priority="6939" operator="equal">
      <formula>"Muy Baja"</formula>
    </cfRule>
  </conditionalFormatting>
  <conditionalFormatting sqref="S342:T342">
    <cfRule type="cellIs" dxfId="5178" priority="6891" operator="equal">
      <formula>"Muy Baja"</formula>
    </cfRule>
    <cfRule type="cellIs" dxfId="5177" priority="6890" operator="equal">
      <formula>"Baja"</formula>
    </cfRule>
  </conditionalFormatting>
  <conditionalFormatting sqref="S352:T352">
    <cfRule type="cellIs" dxfId="5176" priority="6842" operator="equal">
      <formula>"Baja"</formula>
    </cfRule>
    <cfRule type="cellIs" dxfId="5175" priority="6843" operator="equal">
      <formula>"Muy Baja"</formula>
    </cfRule>
  </conditionalFormatting>
  <conditionalFormatting sqref="S362:T362">
    <cfRule type="cellIs" dxfId="5174" priority="6655" operator="equal">
      <formula>"Baja"</formula>
    </cfRule>
    <cfRule type="cellIs" dxfId="5173" priority="6656" operator="equal">
      <formula>"Muy Baja"</formula>
    </cfRule>
  </conditionalFormatting>
  <conditionalFormatting sqref="S372:T372">
    <cfRule type="cellIs" dxfId="5172" priority="6540" operator="equal">
      <formula>"Baja"</formula>
    </cfRule>
    <cfRule type="cellIs" dxfId="5171" priority="6541" operator="equal">
      <formula>"Muy Baja"</formula>
    </cfRule>
  </conditionalFormatting>
  <conditionalFormatting sqref="S382:T382">
    <cfRule type="cellIs" dxfId="5170" priority="6493" operator="equal">
      <formula>"Muy Baja"</formula>
    </cfRule>
    <cfRule type="cellIs" dxfId="5169" priority="6492" operator="equal">
      <formula>"Baja"</formula>
    </cfRule>
  </conditionalFormatting>
  <conditionalFormatting sqref="S392:T392">
    <cfRule type="cellIs" dxfId="5168" priority="6445" operator="equal">
      <formula>"Muy Baja"</formula>
    </cfRule>
    <cfRule type="cellIs" dxfId="5167" priority="6444" operator="equal">
      <formula>"Baja"</formula>
    </cfRule>
  </conditionalFormatting>
  <conditionalFormatting sqref="S402:T402">
    <cfRule type="cellIs" dxfId="5166" priority="6258" operator="equal">
      <formula>"Muy Baja"</formula>
    </cfRule>
    <cfRule type="cellIs" dxfId="5165" priority="6257" operator="equal">
      <formula>"Baja"</formula>
    </cfRule>
  </conditionalFormatting>
  <conditionalFormatting sqref="S412:T412">
    <cfRule type="cellIs" dxfId="5164" priority="6175" operator="equal">
      <formula>"Muy Baja"</formula>
    </cfRule>
    <cfRule type="cellIs" dxfId="5163" priority="6174" operator="equal">
      <formula>"Baja"</formula>
    </cfRule>
  </conditionalFormatting>
  <conditionalFormatting sqref="S422:T422">
    <cfRule type="cellIs" dxfId="5162" priority="6039" operator="equal">
      <formula>"Baja"</formula>
    </cfRule>
    <cfRule type="cellIs" dxfId="5161" priority="6040" operator="equal">
      <formula>"Muy Baja"</formula>
    </cfRule>
  </conditionalFormatting>
  <conditionalFormatting sqref="S432:T432">
    <cfRule type="cellIs" dxfId="5160" priority="5956" operator="equal">
      <formula>"Baja"</formula>
    </cfRule>
    <cfRule type="cellIs" dxfId="5159" priority="5957" operator="equal">
      <formula>"Muy Baja"</formula>
    </cfRule>
  </conditionalFormatting>
  <conditionalFormatting sqref="S442:T442">
    <cfRule type="cellIs" dxfId="5158" priority="5723" operator="equal">
      <formula>"Muy Baja"</formula>
    </cfRule>
    <cfRule type="cellIs" dxfId="5157" priority="5722" operator="equal">
      <formula>"Baja"</formula>
    </cfRule>
  </conditionalFormatting>
  <conditionalFormatting sqref="S452:T452">
    <cfRule type="cellIs" dxfId="5156" priority="5674" operator="equal">
      <formula>"Baja"</formula>
    </cfRule>
    <cfRule type="cellIs" dxfId="5155" priority="5675" operator="equal">
      <formula>"Muy Baja"</formula>
    </cfRule>
  </conditionalFormatting>
  <conditionalFormatting sqref="S462:T462">
    <cfRule type="cellIs" dxfId="5154" priority="5626" operator="equal">
      <formula>"Baja"</formula>
    </cfRule>
    <cfRule type="cellIs" dxfId="5153" priority="5627" operator="equal">
      <formula>"Muy Baja"</formula>
    </cfRule>
  </conditionalFormatting>
  <conditionalFormatting sqref="S472:T472">
    <cfRule type="cellIs" dxfId="5152" priority="5579" operator="equal">
      <formula>"Muy Baja"</formula>
    </cfRule>
    <cfRule type="cellIs" dxfId="5151" priority="5578" operator="equal">
      <formula>"Baja"</formula>
    </cfRule>
  </conditionalFormatting>
  <conditionalFormatting sqref="S482:T482">
    <cfRule type="cellIs" dxfId="5150" priority="5530" operator="equal">
      <formula>"Baja"</formula>
    </cfRule>
    <cfRule type="cellIs" dxfId="5149" priority="5531" operator="equal">
      <formula>"Muy Baja"</formula>
    </cfRule>
  </conditionalFormatting>
  <conditionalFormatting sqref="S492:T492">
    <cfRule type="cellIs" dxfId="5148" priority="5482" operator="equal">
      <formula>"Baja"</formula>
    </cfRule>
    <cfRule type="cellIs" dxfId="5147" priority="5483" operator="equal">
      <formula>"Muy Baja"</formula>
    </cfRule>
  </conditionalFormatting>
  <conditionalFormatting sqref="S502:T502">
    <cfRule type="cellIs" dxfId="5146" priority="5257" operator="equal">
      <formula>"Muy Baja"</formula>
    </cfRule>
    <cfRule type="cellIs" dxfId="5145" priority="5256" operator="equal">
      <formula>"Baja"</formula>
    </cfRule>
  </conditionalFormatting>
  <conditionalFormatting sqref="S512:T512">
    <cfRule type="cellIs" dxfId="5144" priority="5208" operator="equal">
      <formula>"Baja"</formula>
    </cfRule>
    <cfRule type="cellIs" dxfId="5143" priority="5209" operator="equal">
      <formula>"Muy Baja"</formula>
    </cfRule>
  </conditionalFormatting>
  <conditionalFormatting sqref="S522:T522">
    <cfRule type="cellIs" dxfId="5142" priority="5161" operator="equal">
      <formula>"Muy Baja"</formula>
    </cfRule>
    <cfRule type="cellIs" dxfId="5141" priority="5160" operator="equal">
      <formula>"Baja"</formula>
    </cfRule>
  </conditionalFormatting>
  <conditionalFormatting sqref="S532:T532">
    <cfRule type="cellIs" dxfId="5140" priority="5005" operator="equal">
      <formula>"Baja"</formula>
    </cfRule>
    <cfRule type="cellIs" dxfId="5139" priority="5006" operator="equal">
      <formula>"Muy Baja"</formula>
    </cfRule>
  </conditionalFormatting>
  <conditionalFormatting sqref="S542:T542">
    <cfRule type="cellIs" dxfId="5138" priority="4923" operator="equal">
      <formula>"Muy Baja"</formula>
    </cfRule>
    <cfRule type="cellIs" dxfId="5137" priority="4922" operator="equal">
      <formula>"Baja"</formula>
    </cfRule>
  </conditionalFormatting>
  <conditionalFormatting sqref="S552:T552">
    <cfRule type="cellIs" dxfId="5136" priority="4768" operator="equal">
      <formula>"Baja"</formula>
    </cfRule>
    <cfRule type="cellIs" dxfId="5135" priority="4769" operator="equal">
      <formula>"Muy Baja"</formula>
    </cfRule>
  </conditionalFormatting>
  <conditionalFormatting sqref="S562:T562">
    <cfRule type="cellIs" dxfId="5134" priority="4641" operator="equal">
      <formula>"Muy Baja"</formula>
    </cfRule>
    <cfRule type="cellIs" dxfId="5133" priority="4640" operator="equal">
      <formula>"Baja"</formula>
    </cfRule>
  </conditionalFormatting>
  <conditionalFormatting sqref="S572:T572">
    <cfRule type="cellIs" dxfId="5132" priority="4592" operator="equal">
      <formula>"Baja"</formula>
    </cfRule>
    <cfRule type="cellIs" dxfId="5131" priority="4593" operator="equal">
      <formula>"Muy Baja"</formula>
    </cfRule>
  </conditionalFormatting>
  <conditionalFormatting sqref="S582:T582">
    <cfRule type="cellIs" dxfId="5130" priority="4407" operator="equal">
      <formula>"Muy Baja"</formula>
    </cfRule>
    <cfRule type="cellIs" dxfId="5129" priority="4406" operator="equal">
      <formula>"Baja"</formula>
    </cfRule>
  </conditionalFormatting>
  <conditionalFormatting sqref="S592:T592">
    <cfRule type="cellIs" dxfId="5128" priority="4359" operator="equal">
      <formula>"Muy Baja"</formula>
    </cfRule>
    <cfRule type="cellIs" dxfId="5127" priority="4358" operator="equal">
      <formula>"Baja"</formula>
    </cfRule>
  </conditionalFormatting>
  <conditionalFormatting sqref="S602:T602">
    <cfRule type="cellIs" dxfId="5126" priority="4310" operator="equal">
      <formula>"Baja"</formula>
    </cfRule>
    <cfRule type="cellIs" dxfId="5125" priority="4311" operator="equal">
      <formula>"Muy Baja"</formula>
    </cfRule>
  </conditionalFormatting>
  <conditionalFormatting sqref="S612:T612">
    <cfRule type="cellIs" dxfId="5124" priority="4072" operator="equal">
      <formula>"Baja"</formula>
    </cfRule>
    <cfRule type="cellIs" dxfId="5123" priority="4073" operator="equal">
      <formula>"Muy Baja"</formula>
    </cfRule>
  </conditionalFormatting>
  <conditionalFormatting sqref="S622:T622">
    <cfRule type="cellIs" dxfId="5122" priority="3975" operator="equal">
      <formula>"Baja"</formula>
    </cfRule>
    <cfRule type="cellIs" dxfId="5121" priority="3976" operator="equal">
      <formula>"Muy Baja"</formula>
    </cfRule>
  </conditionalFormatting>
  <conditionalFormatting sqref="S632:T632">
    <cfRule type="cellIs" dxfId="5120" priority="3877" operator="equal">
      <formula>"Muy Baja"</formula>
    </cfRule>
    <cfRule type="cellIs" dxfId="5119" priority="3876" operator="equal">
      <formula>"Baja"</formula>
    </cfRule>
  </conditionalFormatting>
  <conditionalFormatting sqref="S642:T642">
    <cfRule type="cellIs" dxfId="5118" priority="3829" operator="equal">
      <formula>"Muy Baja"</formula>
    </cfRule>
    <cfRule type="cellIs" dxfId="5117" priority="3828" operator="equal">
      <formula>"Baja"</formula>
    </cfRule>
  </conditionalFormatting>
  <conditionalFormatting sqref="S652:T652">
    <cfRule type="cellIs" dxfId="5116" priority="3653" operator="equal">
      <formula>"Muy Baja"</formula>
    </cfRule>
    <cfRule type="cellIs" dxfId="5115" priority="3652" operator="equal">
      <formula>"Baja"</formula>
    </cfRule>
  </conditionalFormatting>
  <conditionalFormatting sqref="S662:T662">
    <cfRule type="cellIs" dxfId="5114" priority="3456" operator="equal">
      <formula>"Baja"</formula>
    </cfRule>
    <cfRule type="cellIs" dxfId="5113" priority="3457" operator="equal">
      <formula>"Muy Baja"</formula>
    </cfRule>
  </conditionalFormatting>
  <conditionalFormatting sqref="S672:T672">
    <cfRule type="cellIs" dxfId="5112" priority="3409" operator="equal">
      <formula>"Muy Baja"</formula>
    </cfRule>
    <cfRule type="cellIs" dxfId="5111" priority="3408" operator="equal">
      <formula>"Baja"</formula>
    </cfRule>
  </conditionalFormatting>
  <conditionalFormatting sqref="S682:T682">
    <cfRule type="cellIs" dxfId="5110" priority="3360" operator="equal">
      <formula>"Baja"</formula>
    </cfRule>
    <cfRule type="cellIs" dxfId="5109" priority="3361" operator="equal">
      <formula>"Muy Baja"</formula>
    </cfRule>
  </conditionalFormatting>
  <conditionalFormatting sqref="S692:T692">
    <cfRule type="cellIs" dxfId="5108" priority="3312" operator="equal">
      <formula>"Baja"</formula>
    </cfRule>
    <cfRule type="cellIs" dxfId="5107" priority="3313" operator="equal">
      <formula>"Muy Baja"</formula>
    </cfRule>
  </conditionalFormatting>
  <conditionalFormatting sqref="S702:T702">
    <cfRule type="cellIs" dxfId="5106" priority="3264" operator="equal">
      <formula>"Baja"</formula>
    </cfRule>
    <cfRule type="cellIs" dxfId="5105" priority="3265" operator="equal">
      <formula>"Muy Baja"</formula>
    </cfRule>
  </conditionalFormatting>
  <conditionalFormatting sqref="S712:T712">
    <cfRule type="cellIs" dxfId="5104" priority="3216" operator="equal">
      <formula>"Baja"</formula>
    </cfRule>
    <cfRule type="cellIs" dxfId="5103" priority="3217" operator="equal">
      <formula>"Muy Baja"</formula>
    </cfRule>
  </conditionalFormatting>
  <conditionalFormatting sqref="S722:T722">
    <cfRule type="cellIs" dxfId="5102" priority="2835" operator="equal">
      <formula>"Muy Baja"</formula>
    </cfRule>
    <cfRule type="cellIs" dxfId="5101" priority="2834" operator="equal">
      <formula>"Baja"</formula>
    </cfRule>
  </conditionalFormatting>
  <conditionalFormatting sqref="S732:T732">
    <cfRule type="cellIs" dxfId="5100" priority="2786" operator="equal">
      <formula>"Baja"</formula>
    </cfRule>
    <cfRule type="cellIs" dxfId="5099" priority="2787" operator="equal">
      <formula>"Muy Baja"</formula>
    </cfRule>
  </conditionalFormatting>
  <conditionalFormatting sqref="S742:T742">
    <cfRule type="cellIs" dxfId="5098" priority="2738" operator="equal">
      <formula>"Baja"</formula>
    </cfRule>
    <cfRule type="cellIs" dxfId="5097" priority="2739" operator="equal">
      <formula>"Muy Baja"</formula>
    </cfRule>
  </conditionalFormatting>
  <conditionalFormatting sqref="S752:T752">
    <cfRule type="cellIs" dxfId="5096" priority="2691" operator="equal">
      <formula>"Muy Baja"</formula>
    </cfRule>
    <cfRule type="cellIs" dxfId="5095" priority="2690" operator="equal">
      <formula>"Baja"</formula>
    </cfRule>
  </conditionalFormatting>
  <conditionalFormatting sqref="S762:T762">
    <cfRule type="cellIs" dxfId="5094" priority="2643" operator="equal">
      <formula>"Muy Baja"</formula>
    </cfRule>
    <cfRule type="cellIs" dxfId="5093" priority="2642" operator="equal">
      <formula>"Baja"</formula>
    </cfRule>
  </conditionalFormatting>
  <conditionalFormatting sqref="S772:T772">
    <cfRule type="cellIs" dxfId="5092" priority="2594" operator="equal">
      <formula>"Baja"</formula>
    </cfRule>
    <cfRule type="cellIs" dxfId="5091" priority="2595" operator="equal">
      <formula>"Muy Baja"</formula>
    </cfRule>
  </conditionalFormatting>
  <conditionalFormatting sqref="S782:T782">
    <cfRule type="cellIs" dxfId="5090" priority="2547" operator="equal">
      <formula>"Muy Baja"</formula>
    </cfRule>
    <cfRule type="cellIs" dxfId="5089" priority="2546" operator="equal">
      <formula>"Baja"</formula>
    </cfRule>
  </conditionalFormatting>
  <conditionalFormatting sqref="S792:T792">
    <cfRule type="cellIs" dxfId="5088" priority="2498" operator="equal">
      <formula>"Baja"</formula>
    </cfRule>
    <cfRule type="cellIs" dxfId="5087" priority="2499" operator="equal">
      <formula>"Muy Baja"</formula>
    </cfRule>
  </conditionalFormatting>
  <conditionalFormatting sqref="S802:T802">
    <cfRule type="cellIs" dxfId="5086" priority="2450" operator="equal">
      <formula>"Baja"</formula>
    </cfRule>
    <cfRule type="cellIs" dxfId="5085" priority="2451" operator="equal">
      <formula>"Muy Baja"</formula>
    </cfRule>
  </conditionalFormatting>
  <conditionalFormatting sqref="S812:T812">
    <cfRule type="cellIs" dxfId="5084" priority="2011" operator="equal">
      <formula>"Muy Baja"</formula>
    </cfRule>
    <cfRule type="cellIs" dxfId="5083" priority="2010" operator="equal">
      <formula>"Baja"</formula>
    </cfRule>
  </conditionalFormatting>
  <conditionalFormatting sqref="S822:T822">
    <cfRule type="cellIs" dxfId="5082" priority="1963" operator="equal">
      <formula>"Muy Baja"</formula>
    </cfRule>
    <cfRule type="cellIs" dxfId="5081" priority="1962" operator="equal">
      <formula>"Baja"</formula>
    </cfRule>
  </conditionalFormatting>
  <conditionalFormatting sqref="S832:T832">
    <cfRule type="cellIs" dxfId="5080" priority="1915" operator="equal">
      <formula>"Muy Baja"</formula>
    </cfRule>
    <cfRule type="cellIs" dxfId="5079" priority="1914" operator="equal">
      <formula>"Baja"</formula>
    </cfRule>
  </conditionalFormatting>
  <conditionalFormatting sqref="S842:T842">
    <cfRule type="cellIs" dxfId="5078" priority="1866" operator="equal">
      <formula>"Baja"</formula>
    </cfRule>
    <cfRule type="cellIs" dxfId="5077" priority="1867" operator="equal">
      <formula>"Muy Baja"</formula>
    </cfRule>
  </conditionalFormatting>
  <conditionalFormatting sqref="S852:T852">
    <cfRule type="cellIs" dxfId="5076" priority="1819" operator="equal">
      <formula>"Muy Baja"</formula>
    </cfRule>
    <cfRule type="cellIs" dxfId="5075" priority="1818" operator="equal">
      <formula>"Baja"</formula>
    </cfRule>
  </conditionalFormatting>
  <conditionalFormatting sqref="S862:T862">
    <cfRule type="cellIs" dxfId="5074" priority="1771" operator="equal">
      <formula>"Muy Baja"</formula>
    </cfRule>
    <cfRule type="cellIs" dxfId="5073" priority="1770" operator="equal">
      <formula>"Baja"</formula>
    </cfRule>
  </conditionalFormatting>
  <conditionalFormatting sqref="S872:T872">
    <cfRule type="cellIs" dxfId="5072" priority="1722" operator="equal">
      <formula>"Baja"</formula>
    </cfRule>
    <cfRule type="cellIs" dxfId="5071" priority="1723" operator="equal">
      <formula>"Muy Baja"</formula>
    </cfRule>
  </conditionalFormatting>
  <conditionalFormatting sqref="S882:T882">
    <cfRule type="cellIs" dxfId="5070" priority="1350" operator="equal">
      <formula>"Baja"</formula>
    </cfRule>
    <cfRule type="cellIs" dxfId="5069" priority="1351" operator="equal">
      <formula>"Muy Baja"</formula>
    </cfRule>
  </conditionalFormatting>
  <conditionalFormatting sqref="S892:T892">
    <cfRule type="cellIs" dxfId="5068" priority="1302" operator="equal">
      <formula>"Baja"</formula>
    </cfRule>
    <cfRule type="cellIs" dxfId="5067" priority="1303" operator="equal">
      <formula>"Muy Baja"</formula>
    </cfRule>
  </conditionalFormatting>
  <conditionalFormatting sqref="S902:T902">
    <cfRule type="cellIs" dxfId="5066" priority="1255" operator="equal">
      <formula>"Muy Baja"</formula>
    </cfRule>
    <cfRule type="cellIs" dxfId="5065" priority="1254" operator="equal">
      <formula>"Baja"</formula>
    </cfRule>
  </conditionalFormatting>
  <conditionalFormatting sqref="S912:T912">
    <cfRule type="cellIs" dxfId="5064" priority="1206" operator="equal">
      <formula>"Baja"</formula>
    </cfRule>
    <cfRule type="cellIs" dxfId="5063" priority="1207" operator="equal">
      <formula>"Muy Baja"</formula>
    </cfRule>
  </conditionalFormatting>
  <conditionalFormatting sqref="S922:T922">
    <cfRule type="cellIs" dxfId="5062" priority="1158" operator="equal">
      <formula>"Baja"</formula>
    </cfRule>
    <cfRule type="cellIs" dxfId="5061" priority="1159" operator="equal">
      <formula>"Muy Baja"</formula>
    </cfRule>
  </conditionalFormatting>
  <conditionalFormatting sqref="S932:T932">
    <cfRule type="cellIs" dxfId="5060" priority="1110" operator="equal">
      <formula>"Baja"</formula>
    </cfRule>
    <cfRule type="cellIs" dxfId="5059" priority="1111" operator="equal">
      <formula>"Muy Baja"</formula>
    </cfRule>
  </conditionalFormatting>
  <conditionalFormatting sqref="S942:T942">
    <cfRule type="cellIs" dxfId="5058" priority="876" operator="equal">
      <formula>"Muy Baja"</formula>
    </cfRule>
    <cfRule type="cellIs" dxfId="5057" priority="875" operator="equal">
      <formula>"Baja"</formula>
    </cfRule>
  </conditionalFormatting>
  <conditionalFormatting sqref="S952:T952">
    <cfRule type="cellIs" dxfId="5056" priority="792" operator="equal">
      <formula>"Baja"</formula>
    </cfRule>
    <cfRule type="cellIs" dxfId="5055" priority="793" operator="equal">
      <formula>"Muy Baja"</formula>
    </cfRule>
  </conditionalFormatting>
  <conditionalFormatting sqref="S962:T962">
    <cfRule type="cellIs" dxfId="5054" priority="638" operator="equal">
      <formula>"Baja"</formula>
    </cfRule>
    <cfRule type="cellIs" dxfId="5053" priority="639" operator="equal">
      <formula>"Muy Baja"</formula>
    </cfRule>
  </conditionalFormatting>
  <conditionalFormatting sqref="S972:T972">
    <cfRule type="cellIs" dxfId="5052" priority="494" operator="equal">
      <formula>"Baja"</formula>
    </cfRule>
    <cfRule type="cellIs" dxfId="5051" priority="495" operator="equal">
      <formula>"Muy Baja"</formula>
    </cfRule>
  </conditionalFormatting>
  <conditionalFormatting sqref="S982:T982">
    <cfRule type="cellIs" dxfId="5050" priority="446" operator="equal">
      <formula>"Baja"</formula>
    </cfRule>
    <cfRule type="cellIs" dxfId="5049" priority="447" operator="equal">
      <formula>"Muy Baja"</formula>
    </cfRule>
  </conditionalFormatting>
  <conditionalFormatting sqref="S992:T992">
    <cfRule type="cellIs" dxfId="5048" priority="398" operator="equal">
      <formula>"Baja"</formula>
    </cfRule>
    <cfRule type="cellIs" dxfId="5047" priority="399" operator="equal">
      <formula>"Muy Baja"</formula>
    </cfRule>
  </conditionalFormatting>
  <conditionalFormatting sqref="S1002:T1002">
    <cfRule type="cellIs" dxfId="5046" priority="215" operator="equal">
      <formula>"Muy Baja"</formula>
    </cfRule>
    <cfRule type="cellIs" dxfId="5045" priority="214" operator="equal">
      <formula>"Baja"</formula>
    </cfRule>
  </conditionalFormatting>
  <conditionalFormatting sqref="S1012:T1012">
    <cfRule type="cellIs" dxfId="5044" priority="167" operator="equal">
      <formula>"Muy Baja"</formula>
    </cfRule>
    <cfRule type="cellIs" dxfId="5043" priority="166" operator="equal">
      <formula>"Baja"</formula>
    </cfRule>
  </conditionalFormatting>
  <conditionalFormatting sqref="T12 T22 T42 T52 T62 T82 T92 T102 T112 T132 T142 T162 T172 T192 T202 T222 T232 T242 T252 T262 T272 T282 T292 T302 T332 T342 T352 T372 T382 T392 T412 T432 T542 T632 T642 T732 T742 T752 T762 T772 T782 T792 T802 T822 T832 T842 T852 T862 T872 T892 T902 T912 T922 T932 T952 T982 T992 T1012">
    <cfRule type="cellIs" dxfId="5042" priority="10139" operator="equal">
      <formula>$BC$20</formula>
    </cfRule>
  </conditionalFormatting>
  <conditionalFormatting sqref="T12 T22 T52 T62 T92 T102 T112 T142 T172 T202 T232 T242 T252 T262 T272 T282 T292 T302 T342 T352 T382 T392 T642 T732 T742 T752 T762 T772 T782 T792 T802 T822 T832 T842 T852 T862 T872 T892 T902 T912 T922 T932 T982 T992 T1012 T42 T82 T132 T162 T192 T222 T332 T372 T412 T432 T542 T632 T952">
    <cfRule type="cellIs" dxfId="5041" priority="10138" operator="equal">
      <formula>$BC$17</formula>
    </cfRule>
  </conditionalFormatting>
  <conditionalFormatting sqref="T12">
    <cfRule type="containsText" dxfId="5040" priority="10143" operator="containsText" text="Mayor">
      <formula>NOT(ISERROR(SEARCH("Mayor",T12)))</formula>
    </cfRule>
    <cfRule type="containsText" dxfId="5039" priority="10144" operator="containsText" text="Catastrófico">
      <formula>NOT(ISERROR(SEARCH("Catastrófico",T12)))</formula>
    </cfRule>
    <cfRule type="containsText" dxfId="5029" priority="10140" operator="containsText" text="Leve">
      <formula>NOT(ISERROR(SEARCH("Leve",T12)))</formula>
    </cfRule>
    <cfRule type="containsText" dxfId="5028" priority="10141" operator="containsText" text="Menor">
      <formula>NOT(ISERROR(SEARCH("Menor",T12)))</formula>
    </cfRule>
    <cfRule type="containsText" dxfId="5027" priority="10142" operator="containsText" text="Moderado">
      <formula>NOT(ISERROR(SEARCH("Moderado",T12)))</formula>
    </cfRule>
  </conditionalFormatting>
  <conditionalFormatting sqref="T22 T12 T52 T62 T32 T92 T102 T112 T72 T142 T122 T172 T152 T202 T182 T232 T242 T252 T262 T272 T282 T292 T302 T212 T342 T352 T322 T382 T392 T362 T402 T422 T532 T642 T622 AL462:AN462 AL472:AN472 AL482:AN482 AL492:AN492 AL442:AN442 T732 T742 T752 T762 T772 T782 T792 T802 T822 T832 T842 T852 T862 T872 T892 T902 T912 T922 T932 T942 T982 T992 T1012">
    <cfRule type="cellIs" dxfId="5023" priority="10137" operator="equal">
      <formula>$BG$17</formula>
    </cfRule>
  </conditionalFormatting>
  <conditionalFormatting sqref="T22">
    <cfRule type="containsText" dxfId="5020" priority="10060" operator="containsText" text="Mayor">
      <formula>NOT(ISERROR(SEARCH("Mayor",T22)))</formula>
    </cfRule>
    <cfRule type="containsText" dxfId="5017" priority="10061" operator="containsText" text="Catastrófico">
      <formula>NOT(ISERROR(SEARCH("Catastrófico",T22)))</formula>
    </cfRule>
    <cfRule type="containsText" dxfId="5016" priority="10057" operator="containsText" text="Leve">
      <formula>NOT(ISERROR(SEARCH("Leve",T22)))</formula>
    </cfRule>
    <cfRule type="containsText" dxfId="5015" priority="10058" operator="containsText" text="Menor">
      <formula>NOT(ISERROR(SEARCH("Menor",T22)))</formula>
    </cfRule>
    <cfRule type="containsText" dxfId="5014" priority="10059" operator="containsText" text="Moderado">
      <formula>NOT(ISERROR(SEARCH("Moderado",T22)))</formula>
    </cfRule>
  </conditionalFormatting>
  <conditionalFormatting sqref="T32 T72 T122 T152 T182 T212 T322 T362 T402 T422 T532 T622 T942">
    <cfRule type="containsText" dxfId="5004" priority="11851" operator="containsText" text="Leve">
      <formula>NOT(ISERROR(SEARCH("Leve",T32)))</formula>
    </cfRule>
    <cfRule type="cellIs" dxfId="5003" priority="11850" operator="equal">
      <formula>$BC$20</formula>
    </cfRule>
    <cfRule type="cellIs" dxfId="5002" priority="11849" operator="equal">
      <formula>$BC$17</formula>
    </cfRule>
    <cfRule type="containsText" dxfId="4998" priority="11855" operator="containsText" text="Catastrófico">
      <formula>NOT(ISERROR(SEARCH("Catastrófico",T32)))</formula>
    </cfRule>
    <cfRule type="containsText" dxfId="4990" priority="11852" operator="containsText" text="Menor">
      <formula>NOT(ISERROR(SEARCH("Menor",T32)))</formula>
    </cfRule>
    <cfRule type="containsText" dxfId="4989" priority="11853" operator="containsText" text="Moderado">
      <formula>NOT(ISERROR(SEARCH("Moderado",T32)))</formula>
    </cfRule>
    <cfRule type="containsText" dxfId="4988" priority="11854" operator="containsText" text="Mayor">
      <formula>NOT(ISERROR(SEARCH("Mayor",T32)))</formula>
    </cfRule>
  </conditionalFormatting>
  <conditionalFormatting sqref="T42 T82 T132 T162 T192 T222 T332 T372 T412 T432 T542 T632 T952">
    <cfRule type="containsText" dxfId="4986" priority="12113" operator="containsText" text="Catastrófico">
      <formula>NOT(ISERROR(SEARCH("Catastrófico",T42)))</formula>
    </cfRule>
    <cfRule type="containsText" dxfId="4985" priority="12112" operator="containsText" text="Mayor">
      <formula>NOT(ISERROR(SEARCH("Mayor",T42)))</formula>
    </cfRule>
    <cfRule type="containsText" dxfId="4984" priority="12111" operator="containsText" text="Moderado">
      <formula>NOT(ISERROR(SEARCH("Moderado",T42)))</formula>
    </cfRule>
    <cfRule type="containsText" dxfId="4983" priority="12110" operator="containsText" text="Menor">
      <formula>NOT(ISERROR(SEARCH("Menor",T42)))</formula>
    </cfRule>
    <cfRule type="containsText" dxfId="4982" priority="12109" operator="containsText" text="Leve">
      <formula>NOT(ISERROR(SEARCH("Leve",T42)))</formula>
    </cfRule>
    <cfRule type="cellIs" dxfId="4969" priority="12127" operator="equal">
      <formula>$BG$17</formula>
    </cfRule>
  </conditionalFormatting>
  <conditionalFormatting sqref="T52">
    <cfRule type="containsText" dxfId="4964" priority="9758" operator="containsText" text="Menor">
      <formula>NOT(ISERROR(SEARCH("Menor",T52)))</formula>
    </cfRule>
    <cfRule type="containsText" dxfId="4963" priority="9757" operator="containsText" text="Leve">
      <formula>NOT(ISERROR(SEARCH("Leve",T52)))</formula>
    </cfRule>
    <cfRule type="containsText" dxfId="4958" priority="9759" operator="containsText" text="Moderado">
      <formula>NOT(ISERROR(SEARCH("Moderado",T52)))</formula>
    </cfRule>
    <cfRule type="containsText" dxfId="4956" priority="9761" operator="containsText" text="Catastrófico">
      <formula>NOT(ISERROR(SEARCH("Catastrófico",T52)))</formula>
    </cfRule>
    <cfRule type="containsText" dxfId="4955" priority="9760" operator="containsText" text="Mayor">
      <formula>NOT(ISERROR(SEARCH("Mayor",T52)))</formula>
    </cfRule>
  </conditionalFormatting>
  <conditionalFormatting sqref="T62">
    <cfRule type="containsText" dxfId="4949" priority="9713" operator="containsText" text="Catastrófico">
      <formula>NOT(ISERROR(SEARCH("Catastrófico",T62)))</formula>
    </cfRule>
    <cfRule type="containsText" dxfId="4947" priority="9712" operator="containsText" text="Mayor">
      <formula>NOT(ISERROR(SEARCH("Mayor",T62)))</formula>
    </cfRule>
    <cfRule type="containsText" dxfId="4946" priority="9711" operator="containsText" text="Moderado">
      <formula>NOT(ISERROR(SEARCH("Moderado",T62)))</formula>
    </cfRule>
    <cfRule type="containsText" dxfId="4938" priority="9710" operator="containsText" text="Menor">
      <formula>NOT(ISERROR(SEARCH("Menor",T62)))</formula>
    </cfRule>
    <cfRule type="containsText" dxfId="4937" priority="9709" operator="containsText" text="Leve">
      <formula>NOT(ISERROR(SEARCH("Leve",T62)))</formula>
    </cfRule>
  </conditionalFormatting>
  <conditionalFormatting sqref="T92">
    <cfRule type="containsText" dxfId="4929" priority="9344" operator="containsText" text="Menor">
      <formula>NOT(ISERROR(SEARCH("Menor",T92)))</formula>
    </cfRule>
    <cfRule type="containsText" dxfId="4923" priority="9346" operator="containsText" text="Mayor">
      <formula>NOT(ISERROR(SEARCH("Mayor",T92)))</formula>
    </cfRule>
    <cfRule type="containsText" dxfId="4920" priority="9345" operator="containsText" text="Moderado">
      <formula>NOT(ISERROR(SEARCH("Moderado",T92)))</formula>
    </cfRule>
    <cfRule type="containsText" dxfId="4919" priority="9343" operator="containsText" text="Leve">
      <formula>NOT(ISERROR(SEARCH("Leve",T92)))</formula>
    </cfRule>
    <cfRule type="containsText" dxfId="4918" priority="9347" operator="containsText" text="Catastrófico">
      <formula>NOT(ISERROR(SEARCH("Catastrófico",T92)))</formula>
    </cfRule>
  </conditionalFormatting>
  <conditionalFormatting sqref="T102">
    <cfRule type="containsText" dxfId="4917" priority="9296" operator="containsText" text="Menor">
      <formula>NOT(ISERROR(SEARCH("Menor",T102)))</formula>
    </cfRule>
    <cfRule type="containsText" dxfId="4916" priority="9297" operator="containsText" text="Moderado">
      <formula>NOT(ISERROR(SEARCH("Moderado",T102)))</formula>
    </cfRule>
    <cfRule type="containsText" dxfId="4915" priority="9298" operator="containsText" text="Mayor">
      <formula>NOT(ISERROR(SEARCH("Mayor",T102)))</formula>
    </cfRule>
    <cfRule type="containsText" dxfId="4914" priority="9299" operator="containsText" text="Catastrófico">
      <formula>NOT(ISERROR(SEARCH("Catastrófico",T102)))</formula>
    </cfRule>
    <cfRule type="containsText" dxfId="4901" priority="9295" operator="containsText" text="Leve">
      <formula>NOT(ISERROR(SEARCH("Leve",T102)))</formula>
    </cfRule>
  </conditionalFormatting>
  <conditionalFormatting sqref="T112">
    <cfRule type="containsText" dxfId="4892" priority="9247" operator="containsText" text="Leve">
      <formula>NOT(ISERROR(SEARCH("Leve",T112)))</formula>
    </cfRule>
    <cfRule type="containsText" dxfId="4890" priority="9251" operator="containsText" text="Catastrófico">
      <formula>NOT(ISERROR(SEARCH("Catastrófico",T112)))</formula>
    </cfRule>
    <cfRule type="containsText" dxfId="4889" priority="9250" operator="containsText" text="Mayor">
      <formula>NOT(ISERROR(SEARCH("Mayor",T112)))</formula>
    </cfRule>
    <cfRule type="containsText" dxfId="4887" priority="9249" operator="containsText" text="Moderado">
      <formula>NOT(ISERROR(SEARCH("Moderado",T112)))</formula>
    </cfRule>
    <cfRule type="containsText" dxfId="4886" priority="9248" operator="containsText" text="Menor">
      <formula>NOT(ISERROR(SEARCH("Menor",T112)))</formula>
    </cfRule>
  </conditionalFormatting>
  <conditionalFormatting sqref="T142">
    <cfRule type="containsText" dxfId="4880" priority="8887" operator="containsText" text="Catastrófico">
      <formula>NOT(ISERROR(SEARCH("Catastrófico",T142)))</formula>
    </cfRule>
    <cfRule type="containsText" dxfId="4879" priority="8886" operator="containsText" text="Mayor">
      <formula>NOT(ISERROR(SEARCH("Mayor",T142)))</formula>
    </cfRule>
    <cfRule type="containsText" dxfId="4878" priority="8885" operator="containsText" text="Moderado">
      <formula>NOT(ISERROR(SEARCH("Moderado",T142)))</formula>
    </cfRule>
    <cfRule type="containsText" dxfId="4877" priority="8884" operator="containsText" text="Menor">
      <formula>NOT(ISERROR(SEARCH("Menor",T142)))</formula>
    </cfRule>
    <cfRule type="containsText" dxfId="4876" priority="8883" operator="containsText" text="Leve">
      <formula>NOT(ISERROR(SEARCH("Leve",T142)))</formula>
    </cfRule>
  </conditionalFormatting>
  <conditionalFormatting sqref="T172">
    <cfRule type="containsText" dxfId="4864" priority="8578" operator="containsText" text="Mayor">
      <formula>NOT(ISERROR(SEARCH("Mayor",T172)))</formula>
    </cfRule>
    <cfRule type="containsText" dxfId="4859" priority="8575" operator="containsText" text="Leve">
      <formula>NOT(ISERROR(SEARCH("Leve",T172)))</formula>
    </cfRule>
    <cfRule type="containsText" dxfId="4858" priority="8576" operator="containsText" text="Menor">
      <formula>NOT(ISERROR(SEARCH("Menor",T172)))</formula>
    </cfRule>
    <cfRule type="containsText" dxfId="4857" priority="8577" operator="containsText" text="Moderado">
      <formula>NOT(ISERROR(SEARCH("Moderado",T172)))</formula>
    </cfRule>
    <cfRule type="containsText" dxfId="4856" priority="8579" operator="containsText" text="Catastrófico">
      <formula>NOT(ISERROR(SEARCH("Catastrófico",T172)))</formula>
    </cfRule>
  </conditionalFormatting>
  <conditionalFormatting sqref="T202">
    <cfRule type="containsText" dxfId="4849" priority="8267" operator="containsText" text="Leve">
      <formula>NOT(ISERROR(SEARCH("Leve",T202)))</formula>
    </cfRule>
    <cfRule type="containsText" dxfId="4845" priority="8268" operator="containsText" text="Menor">
      <formula>NOT(ISERROR(SEARCH("Menor",T202)))</formula>
    </cfRule>
    <cfRule type="containsText" dxfId="4841" priority="8269" operator="containsText" text="Moderado">
      <formula>NOT(ISERROR(SEARCH("Moderado",T202)))</formula>
    </cfRule>
    <cfRule type="containsText" dxfId="4840" priority="8270" operator="containsText" text="Mayor">
      <formula>NOT(ISERROR(SEARCH("Mayor",T202)))</formula>
    </cfRule>
    <cfRule type="containsText" dxfId="4839" priority="8271" operator="containsText" text="Catastrófico">
      <formula>NOT(ISERROR(SEARCH("Catastrófico",T202)))</formula>
    </cfRule>
  </conditionalFormatting>
  <conditionalFormatting sqref="T232">
    <cfRule type="containsText" dxfId="4832" priority="7851" operator="containsText" text="Catastrófico">
      <formula>NOT(ISERROR(SEARCH("Catastrófico",T232)))</formula>
    </cfRule>
    <cfRule type="containsText" dxfId="4830" priority="7850" operator="containsText" text="Mayor">
      <formula>NOT(ISERROR(SEARCH("Mayor",T232)))</formula>
    </cfRule>
    <cfRule type="containsText" dxfId="4829" priority="7848" operator="containsText" text="Menor">
      <formula>NOT(ISERROR(SEARCH("Menor",T232)))</formula>
    </cfRule>
    <cfRule type="containsText" dxfId="4827" priority="7849" operator="containsText" text="Moderado">
      <formula>NOT(ISERROR(SEARCH("Moderado",T232)))</formula>
    </cfRule>
    <cfRule type="containsText" dxfId="4816" priority="7847" operator="containsText" text="Leve">
      <formula>NOT(ISERROR(SEARCH("Leve",T232)))</formula>
    </cfRule>
  </conditionalFormatting>
  <conditionalFormatting sqref="T242">
    <cfRule type="containsText" dxfId="4807" priority="7803" operator="containsText" text="Catastrófico">
      <formula>NOT(ISERROR(SEARCH("Catastrófico",T242)))</formula>
    </cfRule>
    <cfRule type="containsText" dxfId="4806" priority="7801" operator="containsText" text="Moderado">
      <formula>NOT(ISERROR(SEARCH("Moderado",T242)))</formula>
    </cfRule>
    <cfRule type="containsText" dxfId="4803" priority="7800" operator="containsText" text="Menor">
      <formula>NOT(ISERROR(SEARCH("Menor",T242)))</formula>
    </cfRule>
    <cfRule type="containsText" dxfId="4802" priority="7799" operator="containsText" text="Leve">
      <formula>NOT(ISERROR(SEARCH("Leve",T242)))</formula>
    </cfRule>
    <cfRule type="containsText" dxfId="4801" priority="7802" operator="containsText" text="Mayor">
      <formula>NOT(ISERROR(SEARCH("Mayor",T242)))</formula>
    </cfRule>
  </conditionalFormatting>
  <conditionalFormatting sqref="T252">
    <cfRule type="containsText" dxfId="4791" priority="7755" operator="containsText" text="Catastrófico">
      <formula>NOT(ISERROR(SEARCH("Catastrófico",T252)))</formula>
    </cfRule>
    <cfRule type="containsText" dxfId="4790" priority="7754" operator="containsText" text="Mayor">
      <formula>NOT(ISERROR(SEARCH("Mayor",T252)))</formula>
    </cfRule>
    <cfRule type="containsText" dxfId="4789" priority="7753" operator="containsText" text="Moderado">
      <formula>NOT(ISERROR(SEARCH("Moderado",T252)))</formula>
    </cfRule>
    <cfRule type="containsText" dxfId="4788" priority="7752" operator="containsText" text="Menor">
      <formula>NOT(ISERROR(SEARCH("Menor",T252)))</formula>
    </cfRule>
    <cfRule type="containsText" dxfId="4787" priority="7751" operator="containsText" text="Leve">
      <formula>NOT(ISERROR(SEARCH("Leve",T252)))</formula>
    </cfRule>
  </conditionalFormatting>
  <conditionalFormatting sqref="T262">
    <cfRule type="containsText" dxfId="4780" priority="7707" operator="containsText" text="Catastrófico">
      <formula>NOT(ISERROR(SEARCH("Catastrófico",T262)))</formula>
    </cfRule>
    <cfRule type="containsText" dxfId="4779" priority="7706" operator="containsText" text="Mayor">
      <formula>NOT(ISERROR(SEARCH("Mayor",T262)))</formula>
    </cfRule>
    <cfRule type="containsText" dxfId="4778" priority="7705" operator="containsText" text="Moderado">
      <formula>NOT(ISERROR(SEARCH("Moderado",T262)))</formula>
    </cfRule>
    <cfRule type="containsText" dxfId="4777" priority="7704" operator="containsText" text="Menor">
      <formula>NOT(ISERROR(SEARCH("Menor",T262)))</formula>
    </cfRule>
    <cfRule type="containsText" dxfId="4776" priority="7703" operator="containsText" text="Leve">
      <formula>NOT(ISERROR(SEARCH("Leve",T262)))</formula>
    </cfRule>
  </conditionalFormatting>
  <conditionalFormatting sqref="T272">
    <cfRule type="containsText" dxfId="4764" priority="7656" operator="containsText" text="Menor">
      <formula>NOT(ISERROR(SEARCH("Menor",T272)))</formula>
    </cfRule>
    <cfRule type="containsText" dxfId="4757" priority="7659" operator="containsText" text="Catastrófico">
      <formula>NOT(ISERROR(SEARCH("Catastrófico",T272)))</formula>
    </cfRule>
    <cfRule type="containsText" dxfId="4754" priority="7658" operator="containsText" text="Mayor">
      <formula>NOT(ISERROR(SEARCH("Mayor",T272)))</formula>
    </cfRule>
    <cfRule type="containsText" dxfId="4753" priority="7657" operator="containsText" text="Moderado">
      <formula>NOT(ISERROR(SEARCH("Moderado",T272)))</formula>
    </cfRule>
    <cfRule type="containsText" dxfId="4752" priority="7655" operator="containsText" text="Leve">
      <formula>NOT(ISERROR(SEARCH("Leve",T272)))</formula>
    </cfRule>
  </conditionalFormatting>
  <conditionalFormatting sqref="T282">
    <cfRule type="containsText" dxfId="4744" priority="7608" operator="containsText" text="Menor">
      <formula>NOT(ISERROR(SEARCH("Menor",T282)))</formula>
    </cfRule>
    <cfRule type="containsText" dxfId="4743" priority="7609" operator="containsText" text="Moderado">
      <formula>NOT(ISERROR(SEARCH("Moderado",T282)))</formula>
    </cfRule>
    <cfRule type="containsText" dxfId="4742" priority="7610" operator="containsText" text="Mayor">
      <formula>NOT(ISERROR(SEARCH("Mayor",T282)))</formula>
    </cfRule>
    <cfRule type="containsText" dxfId="4740" priority="7611" operator="containsText" text="Catastrófico">
      <formula>NOT(ISERROR(SEARCH("Catastrófico",T282)))</formula>
    </cfRule>
    <cfRule type="containsText" dxfId="4738" priority="7607" operator="containsText" text="Leve">
      <formula>NOT(ISERROR(SEARCH("Leve",T282)))</formula>
    </cfRule>
  </conditionalFormatting>
  <conditionalFormatting sqref="T292">
    <cfRule type="containsText" dxfId="4730" priority="7560" operator="containsText" text="Menor">
      <formula>NOT(ISERROR(SEARCH("Menor",T292)))</formula>
    </cfRule>
    <cfRule type="containsText" dxfId="4728" priority="7561" operator="containsText" text="Moderado">
      <formula>NOT(ISERROR(SEARCH("Moderado",T292)))</formula>
    </cfRule>
    <cfRule type="containsText" dxfId="4716" priority="7563" operator="containsText" text="Catastrófico">
      <formula>NOT(ISERROR(SEARCH("Catastrófico",T292)))</formula>
    </cfRule>
    <cfRule type="containsText" dxfId="4715" priority="7562" operator="containsText" text="Mayor">
      <formula>NOT(ISERROR(SEARCH("Mayor",T292)))</formula>
    </cfRule>
    <cfRule type="containsText" dxfId="4714" priority="7559" operator="containsText" text="Leve">
      <formula>NOT(ISERROR(SEARCH("Leve",T292)))</formula>
    </cfRule>
  </conditionalFormatting>
  <conditionalFormatting sqref="T302">
    <cfRule type="containsText" dxfId="4713" priority="7512" operator="containsText" text="Menor">
      <formula>NOT(ISERROR(SEARCH("Menor",T302)))</formula>
    </cfRule>
    <cfRule type="containsText" dxfId="4712" priority="7513" operator="containsText" text="Moderado">
      <formula>NOT(ISERROR(SEARCH("Moderado",T302)))</formula>
    </cfRule>
    <cfRule type="containsText" dxfId="4711" priority="7514" operator="containsText" text="Mayor">
      <formula>NOT(ISERROR(SEARCH("Mayor",T302)))</formula>
    </cfRule>
    <cfRule type="containsText" dxfId="4710" priority="7515" operator="containsText" text="Catastrófico">
      <formula>NOT(ISERROR(SEARCH("Catastrófico",T302)))</formula>
    </cfRule>
    <cfRule type="containsText" dxfId="4697" priority="7511" operator="containsText" text="Leve">
      <formula>NOT(ISERROR(SEARCH("Leve",T302)))</formula>
    </cfRule>
  </conditionalFormatting>
  <conditionalFormatting sqref="T312 T502 T552 T562 T582 T612 T652 T662 T722 T812 T882 T962 T972 T1002">
    <cfRule type="cellIs" dxfId="4686" priority="12374" operator="equal">
      <formula>$BG$17</formula>
    </cfRule>
    <cfRule type="cellIs" dxfId="4685" priority="12375" operator="equal">
      <formula>$BC$17</formula>
    </cfRule>
    <cfRule type="cellIs" dxfId="4684" priority="12376" operator="equal">
      <formula>$BC$20</formula>
    </cfRule>
    <cfRule type="containsText" dxfId="4683" priority="12356" operator="containsText" text="Leve">
      <formula>NOT(ISERROR(SEARCH("Leve",T312)))</formula>
    </cfRule>
    <cfRule type="containsText" dxfId="4682" priority="12357" operator="containsText" text="Menor">
      <formula>NOT(ISERROR(SEARCH("Menor",T312)))</formula>
    </cfRule>
    <cfRule type="containsText" dxfId="4681" priority="12358" operator="containsText" text="Moderado">
      <formula>NOT(ISERROR(SEARCH("Moderado",T312)))</formula>
    </cfRule>
    <cfRule type="containsText" dxfId="4680" priority="12359" operator="containsText" text="Mayor">
      <formula>NOT(ISERROR(SEARCH("Mayor",T312)))</formula>
    </cfRule>
    <cfRule type="containsText" dxfId="4679" priority="12360" operator="containsText" text="Catastrófico">
      <formula>NOT(ISERROR(SEARCH("Catastrófico",T312)))</formula>
    </cfRule>
  </conditionalFormatting>
  <conditionalFormatting sqref="T342">
    <cfRule type="containsText" dxfId="4675" priority="6872" operator="containsText" text="Mayor">
      <formula>NOT(ISERROR(SEARCH("Mayor",T342)))</formula>
    </cfRule>
    <cfRule type="containsText" dxfId="4673" priority="6870" operator="containsText" text="Menor">
      <formula>NOT(ISERROR(SEARCH("Menor",T342)))</formula>
    </cfRule>
    <cfRule type="containsText" dxfId="4664" priority="6871" operator="containsText" text="Moderado">
      <formula>NOT(ISERROR(SEARCH("Moderado",T342)))</formula>
    </cfRule>
    <cfRule type="containsText" dxfId="4662" priority="6869" operator="containsText" text="Leve">
      <formula>NOT(ISERROR(SEARCH("Leve",T342)))</formula>
    </cfRule>
    <cfRule type="containsText" dxfId="4660" priority="6873" operator="containsText" text="Catastrófico">
      <formula>NOT(ISERROR(SEARCH("Catastrófico",T342)))</formula>
    </cfRule>
  </conditionalFormatting>
  <conditionalFormatting sqref="T352">
    <cfRule type="containsText" dxfId="4657" priority="6823" operator="containsText" text="Moderado">
      <formula>NOT(ISERROR(SEARCH("Moderado",T352)))</formula>
    </cfRule>
    <cfRule type="containsText" dxfId="4654" priority="6825" operator="containsText" text="Catastrófico">
      <formula>NOT(ISERROR(SEARCH("Catastrófico",T352)))</formula>
    </cfRule>
    <cfRule type="containsText" dxfId="4653" priority="6822" operator="containsText" text="Menor">
      <formula>NOT(ISERROR(SEARCH("Menor",T352)))</formula>
    </cfRule>
    <cfRule type="containsText" dxfId="4651" priority="6824" operator="containsText" text="Mayor">
      <formula>NOT(ISERROR(SEARCH("Mayor",T352)))</formula>
    </cfRule>
    <cfRule type="containsText" dxfId="4650" priority="6821" operator="containsText" text="Leve">
      <formula>NOT(ISERROR(SEARCH("Leve",T352)))</formula>
    </cfRule>
  </conditionalFormatting>
  <conditionalFormatting sqref="T382">
    <cfRule type="containsText" dxfId="4633" priority="6472" operator="containsText" text="Menor">
      <formula>NOT(ISERROR(SEARCH("Menor",T382)))</formula>
    </cfRule>
    <cfRule type="containsText" dxfId="4631" priority="6471" operator="containsText" text="Leve">
      <formula>NOT(ISERROR(SEARCH("Leve",T382)))</formula>
    </cfRule>
    <cfRule type="containsText" dxfId="4630" priority="6473" operator="containsText" text="Moderado">
      <formula>NOT(ISERROR(SEARCH("Moderado",T382)))</formula>
    </cfRule>
    <cfRule type="containsText" dxfId="4629" priority="6474" operator="containsText" text="Mayor">
      <formula>NOT(ISERROR(SEARCH("Mayor",T382)))</formula>
    </cfRule>
    <cfRule type="containsText" dxfId="4628" priority="6475" operator="containsText" text="Catastrófico">
      <formula>NOT(ISERROR(SEARCH("Catastrófico",T382)))</formula>
    </cfRule>
  </conditionalFormatting>
  <conditionalFormatting sqref="T392">
    <cfRule type="containsText" dxfId="4624" priority="6427" operator="containsText" text="Catastrófico">
      <formula>NOT(ISERROR(SEARCH("Catastrófico",T392)))</formula>
    </cfRule>
    <cfRule type="containsText" dxfId="4619" priority="6426" operator="containsText" text="Mayor">
      <formula>NOT(ISERROR(SEARCH("Mayor",T392)))</formula>
    </cfRule>
    <cfRule type="containsText" dxfId="4612" priority="6423" operator="containsText" text="Leve">
      <formula>NOT(ISERROR(SEARCH("Leve",T392)))</formula>
    </cfRule>
    <cfRule type="containsText" dxfId="4611" priority="6425" operator="containsText" text="Moderado">
      <formula>NOT(ISERROR(SEARCH("Moderado",T392)))</formula>
    </cfRule>
    <cfRule type="containsText" dxfId="4609" priority="6424" operator="containsText" text="Menor">
      <formula>NOT(ISERROR(SEARCH("Menor",T392)))</formula>
    </cfRule>
  </conditionalFormatting>
  <conditionalFormatting sqref="T442 T452 T462 T472 T482 T492 T512 T522 T572 T592 T602 T672 T682 T692 T702 T712">
    <cfRule type="cellIs" dxfId="4608" priority="5846" operator="equal">
      <formula>$BC$17</formula>
    </cfRule>
    <cfRule type="cellIs" dxfId="4607" priority="5845" operator="equal">
      <formula>$BG$17</formula>
    </cfRule>
    <cfRule type="cellIs" dxfId="4606" priority="5847" operator="equal">
      <formula>$BC$20</formula>
    </cfRule>
  </conditionalFormatting>
  <conditionalFormatting sqref="T442">
    <cfRule type="containsText" dxfId="4600" priority="5705" operator="containsText" text="Catastrófico">
      <formula>NOT(ISERROR(SEARCH("Catastrófico",T442)))</formula>
    </cfRule>
    <cfRule type="containsText" dxfId="4598" priority="5703" operator="containsText" text="Moderado">
      <formula>NOT(ISERROR(SEARCH("Moderado",T442)))</formula>
    </cfRule>
    <cfRule type="containsText" dxfId="4597" priority="5701" operator="containsText" text="Leve">
      <formula>NOT(ISERROR(SEARCH("Leve",T442)))</formula>
    </cfRule>
    <cfRule type="containsText" dxfId="4596" priority="5702" operator="containsText" text="Menor">
      <formula>NOT(ISERROR(SEARCH("Menor",T442)))</formula>
    </cfRule>
    <cfRule type="containsText" dxfId="4589" priority="5704" operator="containsText" text="Mayor">
      <formula>NOT(ISERROR(SEARCH("Mayor",T442)))</formula>
    </cfRule>
  </conditionalFormatting>
  <conditionalFormatting sqref="T452">
    <cfRule type="containsText" dxfId="4588" priority="5656" operator="containsText" text="Mayor">
      <formula>NOT(ISERROR(SEARCH("Mayor",T452)))</formula>
    </cfRule>
    <cfRule type="containsText" dxfId="4587" priority="5657" operator="containsText" text="Catastrófico">
      <formula>NOT(ISERROR(SEARCH("Catastrófico",T452)))</formula>
    </cfRule>
    <cfRule type="containsText" dxfId="4577" priority="5653" operator="containsText" text="Leve">
      <formula>NOT(ISERROR(SEARCH("Leve",T452)))</formula>
    </cfRule>
    <cfRule type="containsText" dxfId="4574" priority="5654" operator="containsText" text="Menor">
      <formula>NOT(ISERROR(SEARCH("Menor",T452)))</formula>
    </cfRule>
    <cfRule type="containsText" dxfId="4572" priority="5655" operator="containsText" text="Moderado">
      <formula>NOT(ISERROR(SEARCH("Moderado",T452)))</formula>
    </cfRule>
  </conditionalFormatting>
  <conditionalFormatting sqref="T462">
    <cfRule type="containsText" dxfId="4562" priority="5606" operator="containsText" text="Menor">
      <formula>NOT(ISERROR(SEARCH("Menor",T462)))</formula>
    </cfRule>
    <cfRule type="containsText" dxfId="4561" priority="5605" operator="containsText" text="Leve">
      <formula>NOT(ISERROR(SEARCH("Leve",T462)))</formula>
    </cfRule>
    <cfRule type="containsText" dxfId="4559" priority="5609" operator="containsText" text="Catastrófico">
      <formula>NOT(ISERROR(SEARCH("Catastrófico",T462)))</formula>
    </cfRule>
    <cfRule type="containsText" dxfId="4558" priority="5608" operator="containsText" text="Mayor">
      <formula>NOT(ISERROR(SEARCH("Mayor",T462)))</formula>
    </cfRule>
    <cfRule type="containsText" dxfId="4556" priority="5607" operator="containsText" text="Moderado">
      <formula>NOT(ISERROR(SEARCH("Moderado",T462)))</formula>
    </cfRule>
  </conditionalFormatting>
  <conditionalFormatting sqref="T472">
    <cfRule type="containsText" dxfId="4554" priority="5557" operator="containsText" text="Leve">
      <formula>NOT(ISERROR(SEARCH("Leve",T472)))</formula>
    </cfRule>
    <cfRule type="containsText" dxfId="4553" priority="5558" operator="containsText" text="Menor">
      <formula>NOT(ISERROR(SEARCH("Menor",T472)))</formula>
    </cfRule>
    <cfRule type="containsText" dxfId="4552" priority="5559" operator="containsText" text="Moderado">
      <formula>NOT(ISERROR(SEARCH("Moderado",T472)))</formula>
    </cfRule>
    <cfRule type="containsText" dxfId="4540" priority="5561" operator="containsText" text="Catastrófico">
      <formula>NOT(ISERROR(SEARCH("Catastrófico",T472)))</formula>
    </cfRule>
    <cfRule type="containsText" dxfId="4539" priority="5560" operator="containsText" text="Mayor">
      <formula>NOT(ISERROR(SEARCH("Mayor",T472)))</formula>
    </cfRule>
  </conditionalFormatting>
  <conditionalFormatting sqref="T482">
    <cfRule type="containsText" dxfId="4525" priority="5513" operator="containsText" text="Catastrófico">
      <formula>NOT(ISERROR(SEARCH("Catastrófico",T482)))</formula>
    </cfRule>
    <cfRule type="containsText" dxfId="4524" priority="5511" operator="containsText" text="Moderado">
      <formula>NOT(ISERROR(SEARCH("Moderado",T482)))</formula>
    </cfRule>
    <cfRule type="containsText" dxfId="4523" priority="5510" operator="containsText" text="Menor">
      <formula>NOT(ISERROR(SEARCH("Menor",T482)))</formula>
    </cfRule>
    <cfRule type="containsText" dxfId="4522" priority="5509" operator="containsText" text="Leve">
      <formula>NOT(ISERROR(SEARCH("Leve",T482)))</formula>
    </cfRule>
    <cfRule type="containsText" dxfId="4521" priority="5512" operator="containsText" text="Mayor">
      <formula>NOT(ISERROR(SEARCH("Mayor",T482)))</formula>
    </cfRule>
  </conditionalFormatting>
  <conditionalFormatting sqref="T492">
    <cfRule type="containsText" dxfId="4519" priority="5464" operator="containsText" text="Mayor">
      <formula>NOT(ISERROR(SEARCH("Mayor",T492)))</formula>
    </cfRule>
    <cfRule type="containsText" dxfId="4518" priority="5463" operator="containsText" text="Moderado">
      <formula>NOT(ISERROR(SEARCH("Moderado",T492)))</formula>
    </cfRule>
    <cfRule type="containsText" dxfId="4512" priority="5465" operator="containsText" text="Catastrófico">
      <formula>NOT(ISERROR(SEARCH("Catastrófico",T492)))</formula>
    </cfRule>
    <cfRule type="containsText" dxfId="4510" priority="5462" operator="containsText" text="Menor">
      <formula>NOT(ISERROR(SEARCH("Menor",T492)))</formula>
    </cfRule>
    <cfRule type="containsText" dxfId="4509" priority="5461" operator="containsText" text="Leve">
      <formula>NOT(ISERROR(SEARCH("Leve",T492)))</formula>
    </cfRule>
  </conditionalFormatting>
  <conditionalFormatting sqref="T512">
    <cfRule type="containsText" dxfId="4493" priority="5191" operator="containsText" text="Catastrófico">
      <formula>NOT(ISERROR(SEARCH("Catastrófico",T512)))</formula>
    </cfRule>
    <cfRule type="containsText" dxfId="4491" priority="5187" operator="containsText" text="Leve">
      <formula>NOT(ISERROR(SEARCH("Leve",T512)))</formula>
    </cfRule>
    <cfRule type="containsText" dxfId="4490" priority="5188" operator="containsText" text="Menor">
      <formula>NOT(ISERROR(SEARCH("Menor",T512)))</formula>
    </cfRule>
    <cfRule type="containsText" dxfId="4489" priority="5189" operator="containsText" text="Moderado">
      <formula>NOT(ISERROR(SEARCH("Moderado",T512)))</formula>
    </cfRule>
    <cfRule type="containsText" dxfId="4488" priority="5190" operator="containsText" text="Mayor">
      <formula>NOT(ISERROR(SEARCH("Mayor",T512)))</formula>
    </cfRule>
  </conditionalFormatting>
  <conditionalFormatting sqref="T522">
    <cfRule type="containsText" dxfId="4486" priority="5143" operator="containsText" text="Catastrófico">
      <formula>NOT(ISERROR(SEARCH("Catastrófico",T522)))</formula>
    </cfRule>
    <cfRule type="containsText" dxfId="4479" priority="5142" operator="containsText" text="Mayor">
      <formula>NOT(ISERROR(SEARCH("Mayor",T522)))</formula>
    </cfRule>
    <cfRule type="containsText" dxfId="4473" priority="5139" operator="containsText" text="Leve">
      <formula>NOT(ISERROR(SEARCH("Leve",T522)))</formula>
    </cfRule>
    <cfRule type="containsText" dxfId="4472" priority="5140" operator="containsText" text="Menor">
      <formula>NOT(ISERROR(SEARCH("Menor",T522)))</formula>
    </cfRule>
    <cfRule type="containsText" dxfId="4471" priority="5141" operator="containsText" text="Moderado">
      <formula>NOT(ISERROR(SEARCH("Moderado",T522)))</formula>
    </cfRule>
  </conditionalFormatting>
  <conditionalFormatting sqref="T572">
    <cfRule type="containsText" dxfId="4467" priority="4573" operator="containsText" text="Moderado">
      <formula>NOT(ISERROR(SEARCH("Moderado",T572)))</formula>
    </cfRule>
    <cfRule type="containsText" dxfId="4466" priority="4571" operator="containsText" text="Leve">
      <formula>NOT(ISERROR(SEARCH("Leve",T572)))</formula>
    </cfRule>
    <cfRule type="containsText" dxfId="4462" priority="4575" operator="containsText" text="Catastrófico">
      <formula>NOT(ISERROR(SEARCH("Catastrófico",T572)))</formula>
    </cfRule>
    <cfRule type="containsText" dxfId="4458" priority="4572" operator="containsText" text="Menor">
      <formula>NOT(ISERROR(SEARCH("Menor",T572)))</formula>
    </cfRule>
    <cfRule type="containsText" dxfId="4457" priority="4574" operator="containsText" text="Mayor">
      <formula>NOT(ISERROR(SEARCH("Mayor",T572)))</formula>
    </cfRule>
  </conditionalFormatting>
  <conditionalFormatting sqref="T592">
    <cfRule type="containsText" dxfId="4443" priority="4337" operator="containsText" text="Leve">
      <formula>NOT(ISERROR(SEARCH("Leve",T592)))</formula>
    </cfRule>
    <cfRule type="containsText" dxfId="4442" priority="4338" operator="containsText" text="Menor">
      <formula>NOT(ISERROR(SEARCH("Menor",T592)))</formula>
    </cfRule>
    <cfRule type="containsText" dxfId="4441" priority="4339" operator="containsText" text="Moderado">
      <formula>NOT(ISERROR(SEARCH("Moderado",T592)))</formula>
    </cfRule>
    <cfRule type="containsText" dxfId="4440" priority="4340" operator="containsText" text="Mayor">
      <formula>NOT(ISERROR(SEARCH("Mayor",T592)))</formula>
    </cfRule>
    <cfRule type="containsText" dxfId="4439" priority="4341" operator="containsText" text="Catastrófico">
      <formula>NOT(ISERROR(SEARCH("Catastrófico",T592)))</formula>
    </cfRule>
  </conditionalFormatting>
  <conditionalFormatting sqref="T602">
    <cfRule type="containsText" dxfId="4424" priority="4293" operator="containsText" text="Catastrófico">
      <formula>NOT(ISERROR(SEARCH("Catastrófico",T602)))</formula>
    </cfRule>
    <cfRule type="containsText" dxfId="4423" priority="4292" operator="containsText" text="Mayor">
      <formula>NOT(ISERROR(SEARCH("Mayor",T602)))</formula>
    </cfRule>
    <cfRule type="containsText" dxfId="4422" priority="4291" operator="containsText" text="Moderado">
      <formula>NOT(ISERROR(SEARCH("Moderado",T602)))</formula>
    </cfRule>
    <cfRule type="containsText" dxfId="4421" priority="4289" operator="containsText" text="Leve">
      <formula>NOT(ISERROR(SEARCH("Leve",T602)))</formula>
    </cfRule>
    <cfRule type="containsText" dxfId="4420" priority="4290" operator="containsText" text="Menor">
      <formula>NOT(ISERROR(SEARCH("Menor",T602)))</formula>
    </cfRule>
  </conditionalFormatting>
  <conditionalFormatting sqref="T642">
    <cfRule type="containsText" dxfId="4418" priority="3807" operator="containsText" text="Leve">
      <formula>NOT(ISERROR(SEARCH("Leve",T642)))</formula>
    </cfRule>
    <cfRule type="containsText" dxfId="4409" priority="3811" operator="containsText" text="Catastrófico">
      <formula>NOT(ISERROR(SEARCH("Catastrófico",T642)))</formula>
    </cfRule>
    <cfRule type="containsText" dxfId="4408" priority="3810" operator="containsText" text="Mayor">
      <formula>NOT(ISERROR(SEARCH("Mayor",T642)))</formula>
    </cfRule>
    <cfRule type="containsText" dxfId="4407" priority="3809" operator="containsText" text="Moderado">
      <formula>NOT(ISERROR(SEARCH("Moderado",T642)))</formula>
    </cfRule>
    <cfRule type="containsText" dxfId="4406" priority="3808" operator="containsText" text="Menor">
      <formula>NOT(ISERROR(SEARCH("Menor",T642)))</formula>
    </cfRule>
  </conditionalFormatting>
  <conditionalFormatting sqref="T672">
    <cfRule type="containsText" dxfId="4391" priority="3390" operator="containsText" text="Mayor">
      <formula>NOT(ISERROR(SEARCH("Mayor",T672)))</formula>
    </cfRule>
    <cfRule type="containsText" dxfId="4390" priority="3391" operator="containsText" text="Catastrófico">
      <formula>NOT(ISERROR(SEARCH("Catastrófico",T672)))</formula>
    </cfRule>
    <cfRule type="containsText" dxfId="4389" priority="3387" operator="containsText" text="Leve">
      <formula>NOT(ISERROR(SEARCH("Leve",T672)))</formula>
    </cfRule>
    <cfRule type="containsText" dxfId="4388" priority="3389" operator="containsText" text="Moderado">
      <formula>NOT(ISERROR(SEARCH("Moderado",T672)))</formula>
    </cfRule>
    <cfRule type="containsText" dxfId="4387" priority="3388" operator="containsText" text="Menor">
      <formula>NOT(ISERROR(SEARCH("Menor",T672)))</formula>
    </cfRule>
  </conditionalFormatting>
  <conditionalFormatting sqref="T682">
    <cfRule type="containsText" dxfId="4383" priority="3343" operator="containsText" text="Catastrófico">
      <formula>NOT(ISERROR(SEARCH("Catastrófico",T682)))</formula>
    </cfRule>
    <cfRule type="containsText" dxfId="4372" priority="3340" operator="containsText" text="Menor">
      <formula>NOT(ISERROR(SEARCH("Menor",T682)))</formula>
    </cfRule>
    <cfRule type="containsText" dxfId="4370" priority="3341" operator="containsText" text="Moderado">
      <formula>NOT(ISERROR(SEARCH("Moderado",T682)))</formula>
    </cfRule>
    <cfRule type="containsText" dxfId="4369" priority="3342" operator="containsText" text="Mayor">
      <formula>NOT(ISERROR(SEARCH("Mayor",T682)))</formula>
    </cfRule>
    <cfRule type="containsText" dxfId="4368" priority="3339" operator="containsText" text="Leve">
      <formula>NOT(ISERROR(SEARCH("Leve",T682)))</formula>
    </cfRule>
  </conditionalFormatting>
  <conditionalFormatting sqref="T692">
    <cfRule type="containsText" dxfId="4363" priority="3291" operator="containsText" text="Leve">
      <formula>NOT(ISERROR(SEARCH("Leve",T692)))</formula>
    </cfRule>
    <cfRule type="containsText" dxfId="4362" priority="3292" operator="containsText" text="Menor">
      <formula>NOT(ISERROR(SEARCH("Menor",T692)))</formula>
    </cfRule>
    <cfRule type="containsText" dxfId="4361" priority="3294" operator="containsText" text="Mayor">
      <formula>NOT(ISERROR(SEARCH("Mayor",T692)))</formula>
    </cfRule>
    <cfRule type="containsText" dxfId="4360" priority="3295" operator="containsText" text="Catastrófico">
      <formula>NOT(ISERROR(SEARCH("Catastrófico",T692)))</formula>
    </cfRule>
    <cfRule type="containsText" dxfId="4352" priority="3293" operator="containsText" text="Moderado">
      <formula>NOT(ISERROR(SEARCH("Moderado",T692)))</formula>
    </cfRule>
  </conditionalFormatting>
  <conditionalFormatting sqref="T702">
    <cfRule type="containsText" dxfId="4347" priority="3247" operator="containsText" text="Catastrófico">
      <formula>NOT(ISERROR(SEARCH("Catastrófico",T702)))</formula>
    </cfRule>
    <cfRule type="containsText" dxfId="4341" priority="3246" operator="containsText" text="Mayor">
      <formula>NOT(ISERROR(SEARCH("Mayor",T702)))</formula>
    </cfRule>
    <cfRule type="containsText" dxfId="4336" priority="3245" operator="containsText" text="Moderado">
      <formula>NOT(ISERROR(SEARCH("Moderado",T702)))</formula>
    </cfRule>
    <cfRule type="containsText" dxfId="4335" priority="3244" operator="containsText" text="Menor">
      <formula>NOT(ISERROR(SEARCH("Menor",T702)))</formula>
    </cfRule>
    <cfRule type="containsText" dxfId="4334" priority="3243" operator="containsText" text="Leve">
      <formula>NOT(ISERROR(SEARCH("Leve",T702)))</formula>
    </cfRule>
  </conditionalFormatting>
  <conditionalFormatting sqref="T712">
    <cfRule type="containsText" dxfId="4331" priority="3198" operator="containsText" text="Mayor">
      <formula>NOT(ISERROR(SEARCH("Mayor",T712)))</formula>
    </cfRule>
    <cfRule type="containsText" dxfId="4330" priority="3199" operator="containsText" text="Catastrófico">
      <formula>NOT(ISERROR(SEARCH("Catastrófico",T712)))</formula>
    </cfRule>
    <cfRule type="containsText" dxfId="4321" priority="3197" operator="containsText" text="Moderado">
      <formula>NOT(ISERROR(SEARCH("Moderado",T712)))</formula>
    </cfRule>
    <cfRule type="containsText" dxfId="4318" priority="3195" operator="containsText" text="Leve">
      <formula>NOT(ISERROR(SEARCH("Leve",T712)))</formula>
    </cfRule>
    <cfRule type="containsText" dxfId="4317" priority="3196" operator="containsText" text="Menor">
      <formula>NOT(ISERROR(SEARCH("Menor",T712)))</formula>
    </cfRule>
  </conditionalFormatting>
  <conditionalFormatting sqref="T732">
    <cfRule type="containsText" dxfId="4309" priority="2769" operator="containsText" text="Catastrófico">
      <formula>NOT(ISERROR(SEARCH("Catastrófico",T732)))</formula>
    </cfRule>
    <cfRule type="containsText" dxfId="4308" priority="2768" operator="containsText" text="Mayor">
      <formula>NOT(ISERROR(SEARCH("Mayor",T732)))</formula>
    </cfRule>
    <cfRule type="containsText" dxfId="4307" priority="2767" operator="containsText" text="Moderado">
      <formula>NOT(ISERROR(SEARCH("Moderado",T732)))</formula>
    </cfRule>
    <cfRule type="containsText" dxfId="4306" priority="2766" operator="containsText" text="Menor">
      <formula>NOT(ISERROR(SEARCH("Menor",T732)))</formula>
    </cfRule>
    <cfRule type="containsText" dxfId="4305" priority="2765" operator="containsText" text="Leve">
      <formula>NOT(ISERROR(SEARCH("Leve",T732)))</formula>
    </cfRule>
  </conditionalFormatting>
  <conditionalFormatting sqref="T742">
    <cfRule type="containsText" dxfId="4296" priority="2719" operator="containsText" text="Moderado">
      <formula>NOT(ISERROR(SEARCH("Moderado",T742)))</formula>
    </cfRule>
    <cfRule type="containsText" dxfId="4293" priority="2718" operator="containsText" text="Menor">
      <formula>NOT(ISERROR(SEARCH("Menor",T742)))</formula>
    </cfRule>
    <cfRule type="containsText" dxfId="4287" priority="2721" operator="containsText" text="Catastrófico">
      <formula>NOT(ISERROR(SEARCH("Catastrófico",T742)))</formula>
    </cfRule>
    <cfRule type="containsText" dxfId="4286" priority="2720" operator="containsText" text="Mayor">
      <formula>NOT(ISERROR(SEARCH("Mayor",T742)))</formula>
    </cfRule>
    <cfRule type="containsText" dxfId="4283" priority="2717" operator="containsText" text="Leve">
      <formula>NOT(ISERROR(SEARCH("Leve",T742)))</formula>
    </cfRule>
  </conditionalFormatting>
  <conditionalFormatting sqref="T752">
    <cfRule type="containsText" dxfId="4275" priority="2672" operator="containsText" text="Mayor">
      <formula>NOT(ISERROR(SEARCH("Mayor",T752)))</formula>
    </cfRule>
    <cfRule type="containsText" dxfId="4274" priority="2671" operator="containsText" text="Moderado">
      <formula>NOT(ISERROR(SEARCH("Moderado",T752)))</formula>
    </cfRule>
    <cfRule type="containsText" dxfId="4273" priority="2670" operator="containsText" text="Menor">
      <formula>NOT(ISERROR(SEARCH("Menor",T752)))</formula>
    </cfRule>
    <cfRule type="containsText" dxfId="4272" priority="2669" operator="containsText" text="Leve">
      <formula>NOT(ISERROR(SEARCH("Leve",T752)))</formula>
    </cfRule>
    <cfRule type="containsText" dxfId="4269" priority="2673" operator="containsText" text="Catastrófico">
      <formula>NOT(ISERROR(SEARCH("Catastrófico",T752)))</formula>
    </cfRule>
  </conditionalFormatting>
  <conditionalFormatting sqref="T762">
    <cfRule type="containsText" dxfId="4256" priority="2621" operator="containsText" text="Leve">
      <formula>NOT(ISERROR(SEARCH("Leve",T762)))</formula>
    </cfRule>
    <cfRule type="containsText" dxfId="4255" priority="2622" operator="containsText" text="Menor">
      <formula>NOT(ISERROR(SEARCH("Menor",T762)))</formula>
    </cfRule>
    <cfRule type="containsText" dxfId="4253" priority="2623" operator="containsText" text="Moderado">
      <formula>NOT(ISERROR(SEARCH("Moderado",T762)))</formula>
    </cfRule>
    <cfRule type="containsText" dxfId="4252" priority="2624" operator="containsText" text="Mayor">
      <formula>NOT(ISERROR(SEARCH("Mayor",T762)))</formula>
    </cfRule>
    <cfRule type="containsText" dxfId="4251" priority="2625" operator="containsText" text="Catastrófico">
      <formula>NOT(ISERROR(SEARCH("Catastrófico",T762)))</formula>
    </cfRule>
  </conditionalFormatting>
  <conditionalFormatting sqref="T772">
    <cfRule type="containsText" dxfId="4236" priority="2577" operator="containsText" text="Catastrófico">
      <formula>NOT(ISERROR(SEARCH("Catastrófico",T772)))</formula>
    </cfRule>
    <cfRule type="containsText" dxfId="4235" priority="2576" operator="containsText" text="Mayor">
      <formula>NOT(ISERROR(SEARCH("Mayor",T772)))</formula>
    </cfRule>
    <cfRule type="containsText" dxfId="4234" priority="2575" operator="containsText" text="Moderado">
      <formula>NOT(ISERROR(SEARCH("Moderado",T772)))</formula>
    </cfRule>
    <cfRule type="containsText" dxfId="4233" priority="2574" operator="containsText" text="Menor">
      <formula>NOT(ISERROR(SEARCH("Menor",T772)))</formula>
    </cfRule>
    <cfRule type="containsText" dxfId="4232" priority="2573" operator="containsText" text="Leve">
      <formula>NOT(ISERROR(SEARCH("Leve",T772)))</formula>
    </cfRule>
  </conditionalFormatting>
  <conditionalFormatting sqref="T782">
    <cfRule type="containsText" dxfId="4219" priority="2529" operator="containsText" text="Catastrófico">
      <formula>NOT(ISERROR(SEARCH("Catastrófico",T782)))</formula>
    </cfRule>
    <cfRule type="containsText" dxfId="4218" priority="2528" operator="containsText" text="Mayor">
      <formula>NOT(ISERROR(SEARCH("Mayor",T782)))</formula>
    </cfRule>
    <cfRule type="containsText" dxfId="4217" priority="2527" operator="containsText" text="Moderado">
      <formula>NOT(ISERROR(SEARCH("Moderado",T782)))</formula>
    </cfRule>
    <cfRule type="containsText" dxfId="4216" priority="2526" operator="containsText" text="Menor">
      <formula>NOT(ISERROR(SEARCH("Menor",T782)))</formula>
    </cfRule>
    <cfRule type="containsText" dxfId="4215" priority="2525" operator="containsText" text="Leve">
      <formula>NOT(ISERROR(SEARCH("Leve",T782)))</formula>
    </cfRule>
  </conditionalFormatting>
  <conditionalFormatting sqref="T792">
    <cfRule type="containsText" dxfId="4213" priority="2477" operator="containsText" text="Leve">
      <formula>NOT(ISERROR(SEARCH("Leve",T792)))</formula>
    </cfRule>
    <cfRule type="containsText" dxfId="4212" priority="2478" operator="containsText" text="Menor">
      <formula>NOT(ISERROR(SEARCH("Menor",T792)))</formula>
    </cfRule>
    <cfRule type="containsText" dxfId="4211" priority="2479" operator="containsText" text="Moderado">
      <formula>NOT(ISERROR(SEARCH("Moderado",T792)))</formula>
    </cfRule>
    <cfRule type="containsText" dxfId="4210" priority="2480" operator="containsText" text="Mayor">
      <formula>NOT(ISERROR(SEARCH("Mayor",T792)))</formula>
    </cfRule>
    <cfRule type="containsText" dxfId="4209" priority="2481" operator="containsText" text="Catastrófico">
      <formula>NOT(ISERROR(SEARCH("Catastrófico",T792)))</formula>
    </cfRule>
  </conditionalFormatting>
  <conditionalFormatting sqref="T802">
    <cfRule type="containsText" dxfId="4192" priority="2433" operator="containsText" text="Catastrófico">
      <formula>NOT(ISERROR(SEARCH("Catastrófico",T802)))</formula>
    </cfRule>
    <cfRule type="containsText" dxfId="4191" priority="2432" operator="containsText" text="Mayor">
      <formula>NOT(ISERROR(SEARCH("Mayor",T802)))</formula>
    </cfRule>
    <cfRule type="containsText" dxfId="4190" priority="2431" operator="containsText" text="Moderado">
      <formula>NOT(ISERROR(SEARCH("Moderado",T802)))</formula>
    </cfRule>
    <cfRule type="containsText" dxfId="4189" priority="2430" operator="containsText" text="Menor">
      <formula>NOT(ISERROR(SEARCH("Menor",T802)))</formula>
    </cfRule>
    <cfRule type="containsText" dxfId="4188" priority="2429" operator="containsText" text="Leve">
      <formula>NOT(ISERROR(SEARCH("Leve",T802)))</formula>
    </cfRule>
  </conditionalFormatting>
  <conditionalFormatting sqref="T822">
    <cfRule type="containsText" dxfId="4172" priority="1945" operator="containsText" text="Catastrófico">
      <formula>NOT(ISERROR(SEARCH("Catastrófico",T822)))</formula>
    </cfRule>
    <cfRule type="containsText" dxfId="4171" priority="1944" operator="containsText" text="Mayor">
      <formula>NOT(ISERROR(SEARCH("Mayor",T822)))</formula>
    </cfRule>
    <cfRule type="containsText" dxfId="4170" priority="1943" operator="containsText" text="Moderado">
      <formula>NOT(ISERROR(SEARCH("Moderado",T822)))</formula>
    </cfRule>
    <cfRule type="containsText" dxfId="4169" priority="1942" operator="containsText" text="Menor">
      <formula>NOT(ISERROR(SEARCH("Menor",T822)))</formula>
    </cfRule>
    <cfRule type="containsText" dxfId="4168" priority="1941" operator="containsText" text="Leve">
      <formula>NOT(ISERROR(SEARCH("Leve",T822)))</formula>
    </cfRule>
  </conditionalFormatting>
  <conditionalFormatting sqref="T832">
    <cfRule type="containsText" dxfId="4157" priority="1893" operator="containsText" text="Leve">
      <formula>NOT(ISERROR(SEARCH("Leve",T832)))</formula>
    </cfRule>
    <cfRule type="containsText" dxfId="4156" priority="1894" operator="containsText" text="Menor">
      <formula>NOT(ISERROR(SEARCH("Menor",T832)))</formula>
    </cfRule>
    <cfRule type="containsText" dxfId="4155" priority="1895" operator="containsText" text="Moderado">
      <formula>NOT(ISERROR(SEARCH("Moderado",T832)))</formula>
    </cfRule>
    <cfRule type="containsText" dxfId="4154" priority="1896" operator="containsText" text="Mayor">
      <formula>NOT(ISERROR(SEARCH("Mayor",T832)))</formula>
    </cfRule>
    <cfRule type="containsText" dxfId="4153" priority="1897" operator="containsText" text="Catastrófico">
      <formula>NOT(ISERROR(SEARCH("Catastrófico",T832)))</formula>
    </cfRule>
  </conditionalFormatting>
  <conditionalFormatting sqref="T842">
    <cfRule type="containsText" dxfId="4143" priority="1848" operator="containsText" text="Mayor">
      <formula>NOT(ISERROR(SEARCH("Mayor",T842)))</formula>
    </cfRule>
    <cfRule type="containsText" dxfId="4142" priority="1849" operator="containsText" text="Catastrófico">
      <formula>NOT(ISERROR(SEARCH("Catastrófico",T842)))</formula>
    </cfRule>
    <cfRule type="containsText" dxfId="4137" priority="1845" operator="containsText" text="Leve">
      <formula>NOT(ISERROR(SEARCH("Leve",T842)))</formula>
    </cfRule>
    <cfRule type="containsText" dxfId="4136" priority="1846" operator="containsText" text="Menor">
      <formula>NOT(ISERROR(SEARCH("Menor",T842)))</formula>
    </cfRule>
    <cfRule type="containsText" dxfId="4135" priority="1847" operator="containsText" text="Moderado">
      <formula>NOT(ISERROR(SEARCH("Moderado",T842)))</formula>
    </cfRule>
  </conditionalFormatting>
  <conditionalFormatting sqref="T852">
    <cfRule type="containsText" dxfId="4129" priority="1797" operator="containsText" text="Leve">
      <formula>NOT(ISERROR(SEARCH("Leve",T852)))</formula>
    </cfRule>
    <cfRule type="containsText" dxfId="4128" priority="1798" operator="containsText" text="Menor">
      <formula>NOT(ISERROR(SEARCH("Menor",T852)))</formula>
    </cfRule>
    <cfRule type="containsText" dxfId="4127" priority="1801" operator="containsText" text="Catastrófico">
      <formula>NOT(ISERROR(SEARCH("Catastrófico",T852)))</formula>
    </cfRule>
    <cfRule type="containsText" dxfId="4126" priority="1799" operator="containsText" text="Moderado">
      <formula>NOT(ISERROR(SEARCH("Moderado",T852)))</formula>
    </cfRule>
    <cfRule type="containsText" dxfId="4125" priority="1800" operator="containsText" text="Mayor">
      <formula>NOT(ISERROR(SEARCH("Mayor",T852)))</formula>
    </cfRule>
  </conditionalFormatting>
  <conditionalFormatting sqref="T862">
    <cfRule type="containsText" dxfId="4104" priority="1749" operator="containsText" text="Leve">
      <formula>NOT(ISERROR(SEARCH("Leve",T862)))</formula>
    </cfRule>
    <cfRule type="containsText" dxfId="4103" priority="1750" operator="containsText" text="Menor">
      <formula>NOT(ISERROR(SEARCH("Menor",T862)))</formula>
    </cfRule>
    <cfRule type="containsText" dxfId="4102" priority="1751" operator="containsText" text="Moderado">
      <formula>NOT(ISERROR(SEARCH("Moderado",T862)))</formula>
    </cfRule>
    <cfRule type="containsText" dxfId="4101" priority="1752" operator="containsText" text="Mayor">
      <formula>NOT(ISERROR(SEARCH("Mayor",T862)))</formula>
    </cfRule>
    <cfRule type="containsText" dxfId="4100" priority="1753" operator="containsText" text="Catastrófico">
      <formula>NOT(ISERROR(SEARCH("Catastrófico",T862)))</formula>
    </cfRule>
  </conditionalFormatting>
  <conditionalFormatting sqref="T872">
    <cfRule type="containsText" dxfId="4095" priority="1702" operator="containsText" text="Menor">
      <formula>NOT(ISERROR(SEARCH("Menor",T872)))</formula>
    </cfRule>
    <cfRule type="containsText" dxfId="4094" priority="1703" operator="containsText" text="Moderado">
      <formula>NOT(ISERROR(SEARCH("Moderado",T872)))</formula>
    </cfRule>
    <cfRule type="containsText" dxfId="4093" priority="1704" operator="containsText" text="Mayor">
      <formula>NOT(ISERROR(SEARCH("Mayor",T872)))</formula>
    </cfRule>
    <cfRule type="containsText" dxfId="4092" priority="1705" operator="containsText" text="Catastrófico">
      <formula>NOT(ISERROR(SEARCH("Catastrófico",T872)))</formula>
    </cfRule>
    <cfRule type="containsText" dxfId="4089" priority="1701" operator="containsText" text="Leve">
      <formula>NOT(ISERROR(SEARCH("Leve",T872)))</formula>
    </cfRule>
  </conditionalFormatting>
  <conditionalFormatting sqref="T892">
    <cfRule type="containsText" dxfId="4078" priority="1281" operator="containsText" text="Leve">
      <formula>NOT(ISERROR(SEARCH("Leve",T892)))</formula>
    </cfRule>
    <cfRule type="containsText" dxfId="4077" priority="1282" operator="containsText" text="Menor">
      <formula>NOT(ISERROR(SEARCH("Menor",T892)))</formula>
    </cfRule>
    <cfRule type="containsText" dxfId="4076" priority="1283" operator="containsText" text="Moderado">
      <formula>NOT(ISERROR(SEARCH("Moderado",T892)))</formula>
    </cfRule>
    <cfRule type="containsText" dxfId="4069" priority="1285" operator="containsText" text="Catastrófico">
      <formula>NOT(ISERROR(SEARCH("Catastrófico",T892)))</formula>
    </cfRule>
    <cfRule type="containsText" dxfId="4068" priority="1284" operator="containsText" text="Mayor">
      <formula>NOT(ISERROR(SEARCH("Mayor",T892)))</formula>
    </cfRule>
  </conditionalFormatting>
  <conditionalFormatting sqref="T902">
    <cfRule type="containsText" dxfId="4051" priority="1233" operator="containsText" text="Leve">
      <formula>NOT(ISERROR(SEARCH("Leve",T902)))</formula>
    </cfRule>
    <cfRule type="containsText" dxfId="4050" priority="1234" operator="containsText" text="Menor">
      <formula>NOT(ISERROR(SEARCH("Menor",T902)))</formula>
    </cfRule>
    <cfRule type="containsText" dxfId="4049" priority="1235" operator="containsText" text="Moderado">
      <formula>NOT(ISERROR(SEARCH("Moderado",T902)))</formula>
    </cfRule>
    <cfRule type="containsText" dxfId="4048" priority="1236" operator="containsText" text="Mayor">
      <formula>NOT(ISERROR(SEARCH("Mayor",T902)))</formula>
    </cfRule>
    <cfRule type="containsText" dxfId="4047" priority="1237" operator="containsText" text="Catastrófico">
      <formula>NOT(ISERROR(SEARCH("Catastrófico",T902)))</formula>
    </cfRule>
  </conditionalFormatting>
  <conditionalFormatting sqref="T912">
    <cfRule type="containsText" dxfId="4042" priority="1189" operator="containsText" text="Catastrófico">
      <formula>NOT(ISERROR(SEARCH("Catastrófico",T912)))</formula>
    </cfRule>
    <cfRule type="containsText" dxfId="4041" priority="1188" operator="containsText" text="Mayor">
      <formula>NOT(ISERROR(SEARCH("Mayor",T912)))</formula>
    </cfRule>
    <cfRule type="containsText" dxfId="4037" priority="1187" operator="containsText" text="Moderado">
      <formula>NOT(ISERROR(SEARCH("Moderado",T912)))</formula>
    </cfRule>
    <cfRule type="containsText" dxfId="4035" priority="1186" operator="containsText" text="Menor">
      <formula>NOT(ISERROR(SEARCH("Menor",T912)))</formula>
    </cfRule>
    <cfRule type="containsText" dxfId="4032" priority="1185" operator="containsText" text="Leve">
      <formula>NOT(ISERROR(SEARCH("Leve",T912)))</formula>
    </cfRule>
  </conditionalFormatting>
  <conditionalFormatting sqref="T922">
    <cfRule type="containsText" dxfId="4024" priority="1138" operator="containsText" text="Menor">
      <formula>NOT(ISERROR(SEARCH("Menor",T922)))</formula>
    </cfRule>
    <cfRule type="containsText" dxfId="4023" priority="1139" operator="containsText" text="Moderado">
      <formula>NOT(ISERROR(SEARCH("Moderado",T922)))</formula>
    </cfRule>
    <cfRule type="containsText" dxfId="4022" priority="1140" operator="containsText" text="Mayor">
      <formula>NOT(ISERROR(SEARCH("Mayor",T922)))</formula>
    </cfRule>
    <cfRule type="containsText" dxfId="4018" priority="1141" operator="containsText" text="Catastrófico">
      <formula>NOT(ISERROR(SEARCH("Catastrófico",T922)))</formula>
    </cfRule>
    <cfRule type="containsText" dxfId="4017" priority="1137" operator="containsText" text="Leve">
      <formula>NOT(ISERROR(SEARCH("Leve",T922)))</formula>
    </cfRule>
  </conditionalFormatting>
  <conditionalFormatting sqref="T932">
    <cfRule type="containsText" dxfId="4000" priority="1093" operator="containsText" text="Catastrófico">
      <formula>NOT(ISERROR(SEARCH("Catastrófico",T932)))</formula>
    </cfRule>
    <cfRule type="containsText" dxfId="3999" priority="1092" operator="containsText" text="Mayor">
      <formula>NOT(ISERROR(SEARCH("Mayor",T932)))</formula>
    </cfRule>
    <cfRule type="containsText" dxfId="3998" priority="1091" operator="containsText" text="Moderado">
      <formula>NOT(ISERROR(SEARCH("Moderado",T932)))</formula>
    </cfRule>
    <cfRule type="containsText" dxfId="3997" priority="1090" operator="containsText" text="Menor">
      <formula>NOT(ISERROR(SEARCH("Menor",T932)))</formula>
    </cfRule>
    <cfRule type="containsText" dxfId="3996" priority="1089" operator="containsText" text="Leve">
      <formula>NOT(ISERROR(SEARCH("Leve",T932)))</formula>
    </cfRule>
  </conditionalFormatting>
  <conditionalFormatting sqref="T982">
    <cfRule type="containsText" dxfId="3990" priority="426" operator="containsText" text="Menor">
      <formula>NOT(ISERROR(SEARCH("Menor",T982)))</formula>
    </cfRule>
    <cfRule type="containsText" dxfId="3982" priority="427" operator="containsText" text="Moderado">
      <formula>NOT(ISERROR(SEARCH("Moderado",T982)))</formula>
    </cfRule>
    <cfRule type="containsText" dxfId="3981" priority="429" operator="containsText" text="Catastrófico">
      <formula>NOT(ISERROR(SEARCH("Catastrófico",T982)))</formula>
    </cfRule>
    <cfRule type="containsText" dxfId="3980" priority="428" operator="containsText" text="Mayor">
      <formula>NOT(ISERROR(SEARCH("Mayor",T982)))</formula>
    </cfRule>
    <cfRule type="containsText" dxfId="3979" priority="425" operator="containsText" text="Leve">
      <formula>NOT(ISERROR(SEARCH("Leve",T982)))</formula>
    </cfRule>
  </conditionalFormatting>
  <conditionalFormatting sqref="T992">
    <cfRule type="containsText" dxfId="3975" priority="377" operator="containsText" text="Leve">
      <formula>NOT(ISERROR(SEARCH("Leve",T992)))</formula>
    </cfRule>
    <cfRule type="containsText" dxfId="3974" priority="378" operator="containsText" text="Menor">
      <formula>NOT(ISERROR(SEARCH("Menor",T992)))</formula>
    </cfRule>
    <cfRule type="containsText" dxfId="3972" priority="379" operator="containsText" text="Moderado">
      <formula>NOT(ISERROR(SEARCH("Moderado",T992)))</formula>
    </cfRule>
    <cfRule type="containsText" dxfId="3971" priority="380" operator="containsText" text="Mayor">
      <formula>NOT(ISERROR(SEARCH("Mayor",T992)))</formula>
    </cfRule>
    <cfRule type="containsText" dxfId="3967" priority="381" operator="containsText" text="Catastrófico">
      <formula>NOT(ISERROR(SEARCH("Catastrófico",T992)))</formula>
    </cfRule>
  </conditionalFormatting>
  <conditionalFormatting sqref="T1012">
    <cfRule type="containsText" dxfId="3957" priority="148" operator="containsText" text="Mayor">
      <formula>NOT(ISERROR(SEARCH("Mayor",T1012)))</formula>
    </cfRule>
    <cfRule type="containsText" dxfId="3946" priority="149" operator="containsText" text="Catastrófico">
      <formula>NOT(ISERROR(SEARCH("Catastrófico",T1012)))</formula>
    </cfRule>
    <cfRule type="containsText" dxfId="3945" priority="147" operator="containsText" text="Moderado">
      <formula>NOT(ISERROR(SEARCH("Moderado",T1012)))</formula>
    </cfRule>
    <cfRule type="containsText" dxfId="3944" priority="146" operator="containsText" text="Menor">
      <formula>NOT(ISERROR(SEARCH("Menor",T1012)))</formula>
    </cfRule>
    <cfRule type="containsText" dxfId="3943" priority="145" operator="containsText" text="Leve">
      <formula>NOT(ISERROR(SEARCH("Leve",T1012)))</formula>
    </cfRule>
  </conditionalFormatting>
  <conditionalFormatting sqref="AF12:AF31">
    <cfRule type="expression" dxfId="3942" priority="10196">
      <formula>AF12="Muy baja"</formula>
    </cfRule>
    <cfRule type="expression" dxfId="3941" priority="10197">
      <formula>AF12="Baja"</formula>
    </cfRule>
    <cfRule type="expression" dxfId="3940" priority="10195">
      <formula>AF12="Media"</formula>
    </cfRule>
  </conditionalFormatting>
  <conditionalFormatting sqref="AF12:AF401">
    <cfRule type="expression" dxfId="3939" priority="6688">
      <formula>AF12="Alta"</formula>
    </cfRule>
    <cfRule type="expression" dxfId="3938" priority="6687">
      <formula>AF12="Muy alta"</formula>
    </cfRule>
  </conditionalFormatting>
  <conditionalFormatting sqref="AF32:AF71">
    <cfRule type="expression" dxfId="3937" priority="9976">
      <formula>AF32="Muy baja"</formula>
    </cfRule>
    <cfRule type="expression" dxfId="3936" priority="9977">
      <formula>AF32="Baja"</formula>
    </cfRule>
  </conditionalFormatting>
  <conditionalFormatting sqref="AF32:AF401">
    <cfRule type="expression" dxfId="3935" priority="6689">
      <formula>AF32="Media"</formula>
    </cfRule>
  </conditionalFormatting>
  <conditionalFormatting sqref="AF72:AF121">
    <cfRule type="expression" dxfId="3934" priority="9579">
      <formula>AF72="Baja"</formula>
    </cfRule>
  </conditionalFormatting>
  <conditionalFormatting sqref="AF72:AF401">
    <cfRule type="expression" dxfId="3933" priority="6690">
      <formula>AF72="Muy baja"</formula>
    </cfRule>
  </conditionalFormatting>
  <conditionalFormatting sqref="AF122:AF151">
    <cfRule type="expression" dxfId="3932" priority="9087">
      <formula>AF122="Baja"</formula>
    </cfRule>
  </conditionalFormatting>
  <conditionalFormatting sqref="AF152:AF401">
    <cfRule type="expression" dxfId="3931" priority="6691">
      <formula>AF152="Baja"</formula>
    </cfRule>
  </conditionalFormatting>
  <conditionalFormatting sqref="AF402:AF421">
    <cfRule type="expression" dxfId="3930" priority="6293">
      <formula>AF402="Baja"</formula>
    </cfRule>
    <cfRule type="expression" dxfId="3929" priority="6292">
      <formula>AF402="Muy baja"</formula>
    </cfRule>
    <cfRule type="expression" dxfId="3928" priority="6291">
      <formula>AF402="Media"</formula>
    </cfRule>
    <cfRule type="expression" dxfId="3927" priority="6290">
      <formula>AF402="Alta"</formula>
    </cfRule>
    <cfRule type="expression" dxfId="3926" priority="6289">
      <formula>AF402="Muy alta"</formula>
    </cfRule>
  </conditionalFormatting>
  <conditionalFormatting sqref="AF422:AF441">
    <cfRule type="expression" dxfId="3925" priority="6073">
      <formula>AF422="Media"</formula>
    </cfRule>
    <cfRule type="expression" dxfId="3924" priority="6075">
      <formula>AF422="Baja"</formula>
    </cfRule>
    <cfRule type="expression" dxfId="3923" priority="6072">
      <formula>AF422="Alta"</formula>
    </cfRule>
    <cfRule type="expression" dxfId="3922" priority="6071">
      <formula>AF422="Muy alta"</formula>
    </cfRule>
    <cfRule type="expression" dxfId="3921" priority="6074">
      <formula>AF422="Muy baja"</formula>
    </cfRule>
  </conditionalFormatting>
  <conditionalFormatting sqref="AF442:AF501">
    <cfRule type="expression" dxfId="3920" priority="5853">
      <formula>AF442="Muy alta"</formula>
    </cfRule>
    <cfRule type="expression" dxfId="3919" priority="5857">
      <formula>AF442="Baja"</formula>
    </cfRule>
    <cfRule type="expression" dxfId="3918" priority="5854">
      <formula>AF442="Alta"</formula>
    </cfRule>
    <cfRule type="expression" dxfId="3917" priority="5855">
      <formula>AF442="Media"</formula>
    </cfRule>
    <cfRule type="expression" dxfId="3916" priority="5856">
      <formula>AF442="Muy baja"</formula>
    </cfRule>
  </conditionalFormatting>
  <conditionalFormatting sqref="AF502:AF531">
    <cfRule type="expression" dxfId="3915" priority="5058">
      <formula>AF502="Media"</formula>
    </cfRule>
    <cfRule type="expression" dxfId="3914" priority="5060">
      <formula>AF502="Baja"</formula>
    </cfRule>
    <cfRule type="expression" dxfId="3913" priority="5059">
      <formula>AF502="Muy baja"</formula>
    </cfRule>
    <cfRule type="expression" dxfId="3912" priority="5056">
      <formula>AF502="Muy alta"</formula>
    </cfRule>
    <cfRule type="expression" dxfId="3911" priority="5057">
      <formula>AF502="Alta"</formula>
    </cfRule>
  </conditionalFormatting>
  <conditionalFormatting sqref="AF532:AF551">
    <cfRule type="expression" dxfId="3910" priority="5039">
      <formula>AF532="Media"</formula>
    </cfRule>
    <cfRule type="expression" dxfId="3909" priority="5038">
      <formula>AF532="Alta"</formula>
    </cfRule>
    <cfRule type="expression" dxfId="3908" priority="5041">
      <formula>AF532="Baja"</formula>
    </cfRule>
    <cfRule type="expression" dxfId="3907" priority="5037">
      <formula>AF532="Muy alta"</formula>
    </cfRule>
    <cfRule type="expression" dxfId="3906" priority="5040">
      <formula>AF532="Muy baja"</formula>
    </cfRule>
  </conditionalFormatting>
  <conditionalFormatting sqref="AF552:AF561">
    <cfRule type="expression" dxfId="3905" priority="4819">
      <formula>AF552="Muy alta"</formula>
    </cfRule>
    <cfRule type="expression" dxfId="3904" priority="4821">
      <formula>AF552="Media"</formula>
    </cfRule>
    <cfRule type="expression" dxfId="3903" priority="4822">
      <formula>AF552="Muy baja"</formula>
    </cfRule>
    <cfRule type="expression" dxfId="3902" priority="4823">
      <formula>AF552="Baja"</formula>
    </cfRule>
    <cfRule type="expression" dxfId="3901" priority="4820">
      <formula>AF552="Alta"</formula>
    </cfRule>
  </conditionalFormatting>
  <conditionalFormatting sqref="AF562:AF581">
    <cfRule type="expression" dxfId="3900" priority="4707">
      <formula>AF562="Muy alta"</formula>
    </cfRule>
    <cfRule type="expression" dxfId="3899" priority="4708">
      <formula>AF562="Alta"</formula>
    </cfRule>
    <cfRule type="expression" dxfId="3898" priority="4709">
      <formula>AF562="Media"</formula>
    </cfRule>
    <cfRule type="expression" dxfId="3897" priority="4710">
      <formula>AF562="Muy baja"</formula>
    </cfRule>
    <cfRule type="expression" dxfId="3896" priority="4711">
      <formula>AF562="Baja"</formula>
    </cfRule>
  </conditionalFormatting>
  <conditionalFormatting sqref="AF582:AF611">
    <cfRule type="expression" dxfId="3895" priority="4507">
      <formula>AF582="Media"</formula>
    </cfRule>
    <cfRule type="expression" dxfId="3894" priority="4505">
      <formula>AF582="Muy alta"</formula>
    </cfRule>
    <cfRule type="expression" dxfId="3893" priority="4506">
      <formula>AF582="Alta"</formula>
    </cfRule>
    <cfRule type="expression" dxfId="3892" priority="4508">
      <formula>AF582="Muy baja"</formula>
    </cfRule>
    <cfRule type="expression" dxfId="3891" priority="4509">
      <formula>AF582="Baja"</formula>
    </cfRule>
  </conditionalFormatting>
  <conditionalFormatting sqref="AF612:AF621">
    <cfRule type="expression" dxfId="3890" priority="4127">
      <formula>AF612="Baja"</formula>
    </cfRule>
    <cfRule type="expression" dxfId="3889" priority="4126">
      <formula>AF612="Muy baja"</formula>
    </cfRule>
    <cfRule type="expression" dxfId="3888" priority="4125">
      <formula>AF612="Media"</formula>
    </cfRule>
    <cfRule type="expression" dxfId="3887" priority="4124">
      <formula>AF612="Alta"</formula>
    </cfRule>
    <cfRule type="expression" dxfId="3886" priority="4123">
      <formula>AF612="Muy alta"</formula>
    </cfRule>
  </conditionalFormatting>
  <conditionalFormatting sqref="AF622:AF651">
    <cfRule type="expression" dxfId="3885" priority="4010">
      <formula>AF622="Muy baja"</formula>
    </cfRule>
    <cfRule type="expression" dxfId="3884" priority="4011">
      <formula>AF622="Baja"</formula>
    </cfRule>
    <cfRule type="expression" dxfId="3883" priority="4009">
      <formula>AF622="Media"</formula>
    </cfRule>
    <cfRule type="expression" dxfId="3882" priority="4007">
      <formula>AF622="Muy alta"</formula>
    </cfRule>
    <cfRule type="expression" dxfId="3881" priority="4008">
      <formula>AF622="Alta"</formula>
    </cfRule>
  </conditionalFormatting>
  <conditionalFormatting sqref="AF652:AF661">
    <cfRule type="expression" dxfId="3880" priority="3707">
      <formula>AF652="Baja"</formula>
    </cfRule>
    <cfRule type="expression" dxfId="3879" priority="3706">
      <formula>AF652="Muy baja"</formula>
    </cfRule>
    <cfRule type="expression" dxfId="3878" priority="3704">
      <formula>AF652="Alta"</formula>
    </cfRule>
    <cfRule type="expression" dxfId="3877" priority="3703">
      <formula>AF652="Muy alta"</formula>
    </cfRule>
    <cfRule type="expression" dxfId="3876" priority="3705">
      <formula>AF652="Media"</formula>
    </cfRule>
  </conditionalFormatting>
  <conditionalFormatting sqref="AF662:AF721">
    <cfRule type="expression" dxfId="3875" priority="3590">
      <formula>AF662="Muy baja"</formula>
    </cfRule>
    <cfRule type="expression" dxfId="3874" priority="3591">
      <formula>AF662="Baja"</formula>
    </cfRule>
    <cfRule type="expression" dxfId="3873" priority="3588">
      <formula>AF662="Alta"</formula>
    </cfRule>
    <cfRule type="expression" dxfId="3872" priority="3587">
      <formula>AF662="Muy alta"</formula>
    </cfRule>
    <cfRule type="expression" dxfId="3871" priority="3589">
      <formula>AF662="Media"</formula>
    </cfRule>
  </conditionalFormatting>
  <conditionalFormatting sqref="AF722:AF811">
    <cfRule type="expression" dxfId="3870" priority="3013">
      <formula>AF722="Muy alta"</formula>
    </cfRule>
    <cfRule type="expression" dxfId="3869" priority="3014">
      <formula>AF722="Alta"</formula>
    </cfRule>
    <cfRule type="expression" dxfId="3868" priority="3015">
      <formula>AF722="Media"</formula>
    </cfRule>
    <cfRule type="expression" dxfId="3867" priority="3016">
      <formula>AF722="Muy baja"</formula>
    </cfRule>
    <cfRule type="expression" dxfId="3866" priority="3017">
      <formula>AF722="Baja"</formula>
    </cfRule>
  </conditionalFormatting>
  <conditionalFormatting sqref="AF812:AF881">
    <cfRule type="expression" dxfId="3865" priority="2161">
      <formula>AF812="Baja"</formula>
    </cfRule>
    <cfRule type="expression" dxfId="3864" priority="2160">
      <formula>AF812="Muy baja"</formula>
    </cfRule>
    <cfRule type="expression" dxfId="3863" priority="2159">
      <formula>AF812="Media"</formula>
    </cfRule>
    <cfRule type="expression" dxfId="3862" priority="2158">
      <formula>AF812="Alta"</formula>
    </cfRule>
    <cfRule type="expression" dxfId="3861" priority="2157">
      <formula>AF812="Muy alta"</formula>
    </cfRule>
  </conditionalFormatting>
  <conditionalFormatting sqref="AF882:AF941">
    <cfRule type="expression" dxfId="3860" priority="1484">
      <formula>AF882="Muy baja"</formula>
    </cfRule>
    <cfRule type="expression" dxfId="3859" priority="1485">
      <formula>AF882="Baja"</formula>
    </cfRule>
    <cfRule type="expression" dxfId="3858" priority="1481">
      <formula>AF882="Muy alta"</formula>
    </cfRule>
    <cfRule type="expression" dxfId="3857" priority="1482">
      <formula>AF882="Alta"</formula>
    </cfRule>
    <cfRule type="expression" dxfId="3856" priority="1483">
      <formula>AF882="Media"</formula>
    </cfRule>
  </conditionalFormatting>
  <conditionalFormatting sqref="AF942:AF961">
    <cfRule type="expression" dxfId="3855" priority="907">
      <formula>AF942="Muy alta"</formula>
    </cfRule>
    <cfRule type="expression" dxfId="3854" priority="908">
      <formula>AF942="Alta"</formula>
    </cfRule>
    <cfRule type="expression" dxfId="3853" priority="909">
      <formula>AF942="Media"</formula>
    </cfRule>
    <cfRule type="expression" dxfId="3852" priority="910">
      <formula>AF942="Muy baja"</formula>
    </cfRule>
    <cfRule type="expression" dxfId="3851" priority="911">
      <formula>AF942="Baja"</formula>
    </cfRule>
  </conditionalFormatting>
  <conditionalFormatting sqref="AF962:AF971">
    <cfRule type="expression" dxfId="3850" priority="690">
      <formula>AF962="Alta"</formula>
    </cfRule>
    <cfRule type="expression" dxfId="3849" priority="689">
      <formula>AF962="Muy alta"</formula>
    </cfRule>
    <cfRule type="expression" dxfId="3848" priority="693">
      <formula>AF962="Baja"</formula>
    </cfRule>
    <cfRule type="expression" dxfId="3847" priority="692">
      <formula>AF962="Muy baja"</formula>
    </cfRule>
    <cfRule type="expression" dxfId="3846" priority="691">
      <formula>AF962="Media"</formula>
    </cfRule>
  </conditionalFormatting>
  <conditionalFormatting sqref="AF972:AF1001">
    <cfRule type="expression" dxfId="3845" priority="580">
      <formula>AF972="Muy baja"</formula>
    </cfRule>
    <cfRule type="expression" dxfId="3844" priority="581">
      <formula>AF972="Baja"</formula>
    </cfRule>
    <cfRule type="expression" dxfId="3843" priority="579">
      <formula>AF972="Media"</formula>
    </cfRule>
    <cfRule type="expression" dxfId="3842" priority="577">
      <formula>AF972="Muy alta"</formula>
    </cfRule>
    <cfRule type="expression" dxfId="3841" priority="578">
      <formula>AF972="Alta"</formula>
    </cfRule>
  </conditionalFormatting>
  <conditionalFormatting sqref="AF1002:AF1021">
    <cfRule type="expression" dxfId="3840" priority="281">
      <formula>AF1002="Muy alta"</formula>
    </cfRule>
    <cfRule type="expression" dxfId="3839" priority="282">
      <formula>AF1002="Alta"</formula>
    </cfRule>
    <cfRule type="expression" dxfId="3838" priority="284">
      <formula>AF1002="Muy baja"</formula>
    </cfRule>
    <cfRule type="expression" dxfId="3837" priority="283">
      <formula>AF1002="Media"</formula>
    </cfRule>
    <cfRule type="expression" dxfId="3836" priority="285">
      <formula>AF1002="Baja"</formula>
    </cfRule>
  </conditionalFormatting>
  <conditionalFormatting sqref="AI12:AI31">
    <cfRule type="expression" dxfId="3835" priority="10190">
      <formula>AI12="Moderado"</formula>
    </cfRule>
    <cfRule type="expression" dxfId="3834" priority="10191">
      <formula>AI12="Menor"</formula>
    </cfRule>
    <cfRule type="expression" dxfId="3833" priority="10192">
      <formula>AI12="Leve"</formula>
    </cfRule>
  </conditionalFormatting>
  <conditionalFormatting sqref="AI12:AI401">
    <cfRule type="expression" dxfId="3832" priority="6682">
      <formula>AI12="Catastrófico"</formula>
    </cfRule>
    <cfRule type="expression" dxfId="3831" priority="6683">
      <formula>AI12="Mayor"</formula>
    </cfRule>
  </conditionalFormatting>
  <conditionalFormatting sqref="AI32:AI71">
    <cfRule type="expression" dxfId="3830" priority="9972">
      <formula>AI32="Leve"</formula>
    </cfRule>
    <cfRule type="expression" dxfId="3829" priority="9971">
      <formula>AI32="Menor"</formula>
    </cfRule>
  </conditionalFormatting>
  <conditionalFormatting sqref="AI32:AI401">
    <cfRule type="expression" dxfId="3828" priority="6684">
      <formula>AI32="Moderado"</formula>
    </cfRule>
  </conditionalFormatting>
  <conditionalFormatting sqref="AI72:AI121">
    <cfRule type="expression" dxfId="3827" priority="9574">
      <formula>AI72="Leve"</formula>
    </cfRule>
    <cfRule type="expression" dxfId="3826" priority="9573">
      <formula>AI72="Menor"</formula>
    </cfRule>
  </conditionalFormatting>
  <conditionalFormatting sqref="AI122:AI151">
    <cfRule type="expression" dxfId="3825" priority="9082">
      <formula>AI122="Leve"</formula>
    </cfRule>
  </conditionalFormatting>
  <conditionalFormatting sqref="AI122:AI401">
    <cfRule type="expression" dxfId="3824" priority="6685">
      <formula>AI122="Menor"</formula>
    </cfRule>
  </conditionalFormatting>
  <conditionalFormatting sqref="AI152:AI401">
    <cfRule type="expression" dxfId="3823" priority="6686">
      <formula>AI152="Leve"</formula>
    </cfRule>
  </conditionalFormatting>
  <conditionalFormatting sqref="AI402:AI421">
    <cfRule type="expression" dxfId="3822" priority="6285">
      <formula>AI402="Mayor"</formula>
    </cfRule>
    <cfRule type="expression" dxfId="3821" priority="6284">
      <formula>AI402="Catastrófico"</formula>
    </cfRule>
    <cfRule type="expression" dxfId="3820" priority="6288">
      <formula>AI402="Leve"</formula>
    </cfRule>
    <cfRule type="expression" dxfId="3819" priority="6287">
      <formula>AI402="Menor"</formula>
    </cfRule>
    <cfRule type="expression" dxfId="3818" priority="6286">
      <formula>AI402="Moderado"</formula>
    </cfRule>
  </conditionalFormatting>
  <conditionalFormatting sqref="AI422:AI441">
    <cfRule type="expression" dxfId="3817" priority="6068">
      <formula>AI422="Moderado"</formula>
    </cfRule>
    <cfRule type="expression" dxfId="3816" priority="6066">
      <formula>AI422="Catastrófico"</formula>
    </cfRule>
    <cfRule type="expression" dxfId="3815" priority="6067">
      <formula>AI422="Mayor"</formula>
    </cfRule>
    <cfRule type="expression" dxfId="3814" priority="6069">
      <formula>AI422="Menor"</formula>
    </cfRule>
    <cfRule type="expression" dxfId="3813" priority="6070">
      <formula>AI422="Leve"</formula>
    </cfRule>
  </conditionalFormatting>
  <conditionalFormatting sqref="AI442:AI501">
    <cfRule type="expression" dxfId="3812" priority="5850">
      <formula>AI442="Moderado"</formula>
    </cfRule>
    <cfRule type="expression" dxfId="3811" priority="5851">
      <formula>AI442="Menor"</formula>
    </cfRule>
    <cfRule type="expression" dxfId="3810" priority="5852">
      <formula>AI442="Leve"</formula>
    </cfRule>
    <cfRule type="expression" dxfId="3809" priority="5849">
      <formula>AI442="Mayor"</formula>
    </cfRule>
    <cfRule type="expression" dxfId="3808" priority="5848">
      <formula>AI442="Catastrófico"</formula>
    </cfRule>
  </conditionalFormatting>
  <conditionalFormatting sqref="AI502:AI531">
    <cfRule type="expression" dxfId="3807" priority="5055">
      <formula>AI502="Leve"</formula>
    </cfRule>
    <cfRule type="expression" dxfId="3806" priority="5054">
      <formula>AI502="Menor"</formula>
    </cfRule>
    <cfRule type="expression" dxfId="3805" priority="5053">
      <formula>AI502="Moderado"</formula>
    </cfRule>
    <cfRule type="expression" dxfId="3804" priority="5052">
      <formula>AI502="Mayor"</formula>
    </cfRule>
    <cfRule type="expression" dxfId="3803" priority="5051">
      <formula>AI502="Catastrófico"</formula>
    </cfRule>
  </conditionalFormatting>
  <conditionalFormatting sqref="AI532:AI551">
    <cfRule type="expression" dxfId="3802" priority="5034">
      <formula>AI532="Moderado"</formula>
    </cfRule>
    <cfRule type="expression" dxfId="3801" priority="5032">
      <formula>AI532="Catastrófico"</formula>
    </cfRule>
    <cfRule type="expression" dxfId="3800" priority="5033">
      <formula>AI532="Mayor"</formula>
    </cfRule>
    <cfRule type="expression" dxfId="3799" priority="5035">
      <formula>AI532="Menor"</formula>
    </cfRule>
    <cfRule type="expression" dxfId="3798" priority="5036">
      <formula>AI532="Leve"</formula>
    </cfRule>
  </conditionalFormatting>
  <conditionalFormatting sqref="AI552:AI561">
    <cfRule type="expression" dxfId="3797" priority="4817">
      <formula>AI552="Menor"</formula>
    </cfRule>
    <cfRule type="expression" dxfId="3796" priority="4816">
      <formula>AI552="Moderado"</formula>
    </cfRule>
    <cfRule type="expression" dxfId="3795" priority="4818">
      <formula>AI552="Leve"</formula>
    </cfRule>
    <cfRule type="expression" dxfId="3794" priority="4814">
      <formula>AI552="Catastrófico"</formula>
    </cfRule>
    <cfRule type="expression" dxfId="3793" priority="4815">
      <formula>AI552="Mayor"</formula>
    </cfRule>
  </conditionalFormatting>
  <conditionalFormatting sqref="AI562:AI581">
    <cfRule type="expression" dxfId="3792" priority="4702">
      <formula>AI562="Catastrófico"</formula>
    </cfRule>
    <cfRule type="expression" dxfId="3791" priority="4704">
      <formula>AI562="Moderado"</formula>
    </cfRule>
    <cfRule type="expression" dxfId="3790" priority="4706">
      <formula>AI562="Leve"</formula>
    </cfRule>
    <cfRule type="expression" dxfId="3789" priority="4705">
      <formula>AI562="Menor"</formula>
    </cfRule>
    <cfRule type="expression" dxfId="3788" priority="4703">
      <formula>AI562="Mayor"</formula>
    </cfRule>
  </conditionalFormatting>
  <conditionalFormatting sqref="AI582:AI611">
    <cfRule type="expression" dxfId="3787" priority="4504">
      <formula>AI582="Leve"</formula>
    </cfRule>
    <cfRule type="expression" dxfId="3786" priority="4503">
      <formula>AI582="Menor"</formula>
    </cfRule>
    <cfRule type="expression" dxfId="3785" priority="4502">
      <formula>AI582="Moderado"</formula>
    </cfRule>
    <cfRule type="expression" dxfId="3784" priority="4501">
      <formula>AI582="Mayor"</formula>
    </cfRule>
    <cfRule type="expression" dxfId="3783" priority="4500">
      <formula>AI582="Catastrófico"</formula>
    </cfRule>
  </conditionalFormatting>
  <conditionalFormatting sqref="AI612:AI621">
    <cfRule type="expression" dxfId="3782" priority="4118">
      <formula>AI612="Catastrófico"</formula>
    </cfRule>
    <cfRule type="expression" dxfId="3781" priority="4119">
      <formula>AI612="Mayor"</formula>
    </cfRule>
    <cfRule type="expression" dxfId="3780" priority="4120">
      <formula>AI612="Moderado"</formula>
    </cfRule>
    <cfRule type="expression" dxfId="3779" priority="4122">
      <formula>AI612="Leve"</formula>
    </cfRule>
    <cfRule type="expression" dxfId="3778" priority="4121">
      <formula>AI612="Menor"</formula>
    </cfRule>
  </conditionalFormatting>
  <conditionalFormatting sqref="AI622:AI651">
    <cfRule type="expression" dxfId="3777" priority="4002">
      <formula>AI622="Catastrófico"</formula>
    </cfRule>
    <cfRule type="expression" dxfId="3776" priority="4003">
      <formula>AI622="Mayor"</formula>
    </cfRule>
    <cfRule type="expression" dxfId="3775" priority="4006">
      <formula>AI622="Leve"</formula>
    </cfRule>
    <cfRule type="expression" dxfId="3774" priority="4005">
      <formula>AI622="Menor"</formula>
    </cfRule>
    <cfRule type="expression" dxfId="3773" priority="4004">
      <formula>AI622="Moderado"</formula>
    </cfRule>
  </conditionalFormatting>
  <conditionalFormatting sqref="AI652:AI661">
    <cfRule type="expression" dxfId="3772" priority="3702">
      <formula>AI652="Leve"</formula>
    </cfRule>
    <cfRule type="expression" dxfId="3771" priority="3699">
      <formula>AI652="Mayor"</formula>
    </cfRule>
    <cfRule type="expression" dxfId="3770" priority="3701">
      <formula>AI652="Menor"</formula>
    </cfRule>
    <cfRule type="expression" dxfId="3769" priority="3700">
      <formula>AI652="Moderado"</formula>
    </cfRule>
    <cfRule type="expression" dxfId="3768" priority="3698">
      <formula>AI652="Catastrófico"</formula>
    </cfRule>
  </conditionalFormatting>
  <conditionalFormatting sqref="AI662:AI721">
    <cfRule type="expression" dxfId="3767" priority="3583">
      <formula>AI662="Mayor"</formula>
    </cfRule>
    <cfRule type="expression" dxfId="3766" priority="3584">
      <formula>AI662="Moderado"</formula>
    </cfRule>
    <cfRule type="expression" dxfId="3765" priority="3586">
      <formula>AI662="Leve"</formula>
    </cfRule>
    <cfRule type="expression" dxfId="3764" priority="3582">
      <formula>AI662="Catastrófico"</formula>
    </cfRule>
    <cfRule type="expression" dxfId="3763" priority="3585">
      <formula>AI662="Menor"</formula>
    </cfRule>
  </conditionalFormatting>
  <conditionalFormatting sqref="AI722:AI811">
    <cfRule type="expression" dxfId="3762" priority="3008">
      <formula>AI722="Catastrófico"</formula>
    </cfRule>
    <cfRule type="expression" dxfId="3761" priority="3009">
      <formula>AI722="Mayor"</formula>
    </cfRule>
    <cfRule type="expression" dxfId="3760" priority="3010">
      <formula>AI722="Moderado"</formula>
    </cfRule>
    <cfRule type="expression" dxfId="3759" priority="3011">
      <formula>AI722="Menor"</formula>
    </cfRule>
    <cfRule type="expression" dxfId="3758" priority="3012">
      <formula>AI722="Leve"</formula>
    </cfRule>
  </conditionalFormatting>
  <conditionalFormatting sqref="AI812:AI881">
    <cfRule type="expression" dxfId="3757" priority="2152">
      <formula>AI812="Catastrófico"</formula>
    </cfRule>
    <cfRule type="expression" dxfId="3756" priority="2154">
      <formula>AI812="Moderado"</formula>
    </cfRule>
    <cfRule type="expression" dxfId="3755" priority="2153">
      <formula>AI812="Mayor"</formula>
    </cfRule>
    <cfRule type="expression" dxfId="3754" priority="2156">
      <formula>AI812="Leve"</formula>
    </cfRule>
    <cfRule type="expression" dxfId="3753" priority="2155">
      <formula>AI812="Menor"</formula>
    </cfRule>
  </conditionalFormatting>
  <conditionalFormatting sqref="AI882:AI941">
    <cfRule type="expression" dxfId="3752" priority="1478">
      <formula>AI882="Moderado"</formula>
    </cfRule>
    <cfRule type="expression" dxfId="3751" priority="1480">
      <formula>AI882="Leve"</formula>
    </cfRule>
    <cfRule type="expression" dxfId="3750" priority="1479">
      <formula>AI882="Menor"</formula>
    </cfRule>
    <cfRule type="expression" dxfId="3749" priority="1477">
      <formula>AI882="Mayor"</formula>
    </cfRule>
    <cfRule type="expression" dxfId="3748" priority="1476">
      <formula>AI882="Catastrófico"</formula>
    </cfRule>
  </conditionalFormatting>
  <conditionalFormatting sqref="AI942:AI961">
    <cfRule type="expression" dxfId="3747" priority="906">
      <formula>AI942="Leve"</formula>
    </cfRule>
    <cfRule type="expression" dxfId="3746" priority="903">
      <formula>AI942="Mayor"</formula>
    </cfRule>
    <cfRule type="expression" dxfId="3745" priority="905">
      <formula>AI942="Menor"</formula>
    </cfRule>
    <cfRule type="expression" dxfId="3744" priority="904">
      <formula>AI942="Moderado"</formula>
    </cfRule>
    <cfRule type="expression" dxfId="3743" priority="902">
      <formula>AI942="Catastrófico"</formula>
    </cfRule>
  </conditionalFormatting>
  <conditionalFormatting sqref="AI962:AI971">
    <cfRule type="expression" dxfId="3742" priority="685">
      <formula>AI962="Mayor"</formula>
    </cfRule>
    <cfRule type="expression" dxfId="3741" priority="688">
      <formula>AI962="Leve"</formula>
    </cfRule>
    <cfRule type="expression" dxfId="3740" priority="687">
      <formula>AI962="Menor"</formula>
    </cfRule>
    <cfRule type="expression" dxfId="3739" priority="686">
      <formula>AI962="Moderado"</formula>
    </cfRule>
    <cfRule type="expression" dxfId="3738" priority="684">
      <formula>AI962="Catastrófico"</formula>
    </cfRule>
  </conditionalFormatting>
  <conditionalFormatting sqref="AI972:AI1001">
    <cfRule type="expression" dxfId="3737" priority="572">
      <formula>AI972="Catastrófico"</formula>
    </cfRule>
    <cfRule type="expression" dxfId="3736" priority="573">
      <formula>AI972="Mayor"</formula>
    </cfRule>
    <cfRule type="expression" dxfId="3735" priority="574">
      <formula>AI972="Moderado"</formula>
    </cfRule>
    <cfRule type="expression" dxfId="3734" priority="576">
      <formula>AI972="Leve"</formula>
    </cfRule>
    <cfRule type="expression" dxfId="3733" priority="575">
      <formula>AI972="Menor"</formula>
    </cfRule>
  </conditionalFormatting>
  <conditionalFormatting sqref="AI1002:AI1021">
    <cfRule type="expression" dxfId="3732" priority="280">
      <formula>AI1002="Leve"</formula>
    </cfRule>
    <cfRule type="expression" dxfId="3731" priority="276">
      <formula>AI1002="Catastrófico"</formula>
    </cfRule>
    <cfRule type="expression" dxfId="3730" priority="279">
      <formula>AI1002="Menor"</formula>
    </cfRule>
    <cfRule type="expression" dxfId="3729" priority="277">
      <formula>AI1002="Mayor"</formula>
    </cfRule>
    <cfRule type="expression" dxfId="3728" priority="278">
      <formula>AI1002="Moderado"</formula>
    </cfRule>
  </conditionalFormatting>
  <conditionalFormatting sqref="AL12">
    <cfRule type="cellIs" dxfId="3727" priority="10135" operator="equal">
      <formula>"Baja"</formula>
    </cfRule>
    <cfRule type="cellIs" dxfId="3715" priority="10133" operator="equal">
      <formula>"Alta"</formula>
    </cfRule>
    <cfRule type="cellIs" dxfId="3714" priority="10134" operator="equal">
      <formula>"Media"</formula>
    </cfRule>
    <cfRule type="cellIs" dxfId="3713" priority="10136" operator="equal">
      <formula>"Muy Baja"</formula>
    </cfRule>
    <cfRule type="cellIs" dxfId="3712" priority="10132" operator="equal">
      <formula>"Muy Alta"</formula>
    </cfRule>
  </conditionalFormatting>
  <conditionalFormatting sqref="AL22">
    <cfRule type="cellIs" dxfId="3711" priority="10052" operator="equal">
      <formula>"Muy Alta"</formula>
    </cfRule>
    <cfRule type="cellIs" dxfId="3710" priority="10053" operator="equal">
      <formula>"Alta"</formula>
    </cfRule>
    <cfRule type="cellIs" dxfId="3709" priority="10054" operator="equal">
      <formula>"Media"</formula>
    </cfRule>
    <cfRule type="cellIs" dxfId="3707" priority="10055" operator="equal">
      <formula>"Baja"</formula>
    </cfRule>
    <cfRule type="cellIs" dxfId="3706" priority="10056" operator="equal">
      <formula>"Muy Baja"</formula>
    </cfRule>
  </conditionalFormatting>
  <conditionalFormatting sqref="AL32">
    <cfRule type="cellIs" dxfId="3692" priority="9912" operator="equal">
      <formula>"Muy Alta"</formula>
    </cfRule>
    <cfRule type="cellIs" dxfId="3691" priority="9913" operator="equal">
      <formula>"Alta"</formula>
    </cfRule>
    <cfRule type="cellIs" dxfId="3690" priority="9914" operator="equal">
      <formula>"Media"</formula>
    </cfRule>
    <cfRule type="cellIs" dxfId="3689" priority="9915" operator="equal">
      <formula>"Baja"</formula>
    </cfRule>
    <cfRule type="cellIs" dxfId="3688" priority="9916" operator="equal">
      <formula>"Muy Baja"</formula>
    </cfRule>
  </conditionalFormatting>
  <conditionalFormatting sqref="AL42">
    <cfRule type="cellIs" dxfId="3679" priority="9705" operator="equal">
      <formula>"Alta"</formula>
    </cfRule>
    <cfRule type="cellIs" dxfId="3676" priority="9704" operator="equal">
      <formula>"Muy Alta"</formula>
    </cfRule>
    <cfRule type="cellIs" dxfId="3670" priority="9708" operator="equal">
      <formula>"Muy Baja"</formula>
    </cfRule>
    <cfRule type="cellIs" dxfId="3669" priority="9707" operator="equal">
      <formula>"Baja"</formula>
    </cfRule>
    <cfRule type="cellIs" dxfId="3668" priority="9706" operator="equal">
      <formula>"Media"</formula>
    </cfRule>
  </conditionalFormatting>
  <conditionalFormatting sqref="AL52">
    <cfRule type="cellIs" dxfId="3656" priority="9682" operator="equal">
      <formula>"Muy Baja"</formula>
    </cfRule>
    <cfRule type="cellIs" dxfId="3655" priority="9681" operator="equal">
      <formula>"Baja"</formula>
    </cfRule>
    <cfRule type="cellIs" dxfId="3654" priority="9680" operator="equal">
      <formula>"Media"</formula>
    </cfRule>
    <cfRule type="cellIs" dxfId="3653" priority="9679" operator="equal">
      <formula>"Alta"</formula>
    </cfRule>
    <cfRule type="cellIs" dxfId="3652" priority="9678" operator="equal">
      <formula>"Muy Alta"</formula>
    </cfRule>
  </conditionalFormatting>
  <conditionalFormatting sqref="AL62">
    <cfRule type="cellIs" dxfId="3647" priority="9656" operator="equal">
      <formula>"Muy Baja"</formula>
    </cfRule>
    <cfRule type="cellIs" dxfId="3639" priority="9655" operator="equal">
      <formula>"Baja"</formula>
    </cfRule>
    <cfRule type="cellIs" dxfId="3638" priority="9654" operator="equal">
      <formula>"Media"</formula>
    </cfRule>
    <cfRule type="cellIs" dxfId="3637" priority="9653" operator="equal">
      <formula>"Alta"</formula>
    </cfRule>
    <cfRule type="cellIs" dxfId="3636" priority="9652" operator="equal">
      <formula>"Muy Alta"</formula>
    </cfRule>
  </conditionalFormatting>
  <conditionalFormatting sqref="AL72">
    <cfRule type="cellIs" dxfId="3629" priority="9517" operator="equal">
      <formula>"Baja"</formula>
    </cfRule>
    <cfRule type="cellIs" dxfId="3628" priority="9518" operator="equal">
      <formula>"Muy Baja"</formula>
    </cfRule>
    <cfRule type="cellIs" dxfId="3627" priority="9516" operator="equal">
      <formula>"Media"</formula>
    </cfRule>
    <cfRule type="cellIs" dxfId="3625" priority="9515" operator="equal">
      <formula>"Alta"</formula>
    </cfRule>
    <cfRule type="cellIs" dxfId="3624" priority="9514" operator="equal">
      <formula>"Muy Alta"</formula>
    </cfRule>
  </conditionalFormatting>
  <conditionalFormatting sqref="AL82">
    <cfRule type="cellIs" dxfId="3606" priority="9242" operator="equal">
      <formula>"Muy Alta"</formula>
    </cfRule>
    <cfRule type="cellIs" dxfId="3605" priority="9243" operator="equal">
      <formula>"Alta"</formula>
    </cfRule>
    <cfRule type="cellIs" dxfId="3604" priority="9244" operator="equal">
      <formula>"Media"</formula>
    </cfRule>
    <cfRule type="cellIs" dxfId="3601" priority="9245" operator="equal">
      <formula>"Baja"</formula>
    </cfRule>
    <cfRule type="cellIs" dxfId="3600" priority="9246" operator="equal">
      <formula>"Muy Baja"</formula>
    </cfRule>
  </conditionalFormatting>
  <conditionalFormatting sqref="AL92">
    <cfRule type="cellIs" dxfId="3599" priority="9220" operator="equal">
      <formula>"Muy Baja"</formula>
    </cfRule>
    <cfRule type="cellIs" dxfId="3598" priority="9219" operator="equal">
      <formula>"Baja"</formula>
    </cfRule>
    <cfRule type="cellIs" dxfId="3597" priority="9218" operator="equal">
      <formula>"Media"</formula>
    </cfRule>
    <cfRule type="cellIs" dxfId="3585" priority="9216" operator="equal">
      <formula>"Muy Alta"</formula>
    </cfRule>
    <cfRule type="cellIs" dxfId="3584" priority="9217" operator="equal">
      <formula>"Alta"</formula>
    </cfRule>
  </conditionalFormatting>
  <conditionalFormatting sqref="AL102">
    <cfRule type="cellIs" dxfId="3577" priority="9190" operator="equal">
      <formula>"Muy Alta"</formula>
    </cfRule>
    <cfRule type="cellIs" dxfId="3576" priority="9191" operator="equal">
      <formula>"Alta"</formula>
    </cfRule>
    <cfRule type="cellIs" dxfId="3575" priority="9192" operator="equal">
      <formula>"Media"</formula>
    </cfRule>
    <cfRule type="cellIs" dxfId="3574" priority="9193" operator="equal">
      <formula>"Baja"</formula>
    </cfRule>
    <cfRule type="cellIs" dxfId="3573" priority="9194" operator="equal">
      <formula>"Muy Baja"</formula>
    </cfRule>
  </conditionalFormatting>
  <conditionalFormatting sqref="AL112">
    <cfRule type="cellIs" dxfId="3566" priority="9167" operator="equal">
      <formula>"Baja"</formula>
    </cfRule>
    <cfRule type="cellIs" dxfId="3564" priority="9168" operator="equal">
      <formula>"Muy Baja"</formula>
    </cfRule>
    <cfRule type="cellIs" dxfId="3558" priority="9164" operator="equal">
      <formula>"Muy Alta"</formula>
    </cfRule>
    <cfRule type="cellIs" dxfId="3557" priority="9165" operator="equal">
      <formula>"Alta"</formula>
    </cfRule>
    <cfRule type="cellIs" dxfId="3552" priority="9166" operator="equal">
      <formula>"Media"</formula>
    </cfRule>
  </conditionalFormatting>
  <conditionalFormatting sqref="AL122">
    <cfRule type="cellIs" dxfId="3540" priority="9022" operator="equal">
      <formula>"Muy Alta"</formula>
    </cfRule>
    <cfRule type="cellIs" dxfId="3539" priority="9023" operator="equal">
      <formula>"Alta"</formula>
    </cfRule>
    <cfRule type="cellIs" dxfId="3538" priority="9024" operator="equal">
      <formula>"Media"</formula>
    </cfRule>
    <cfRule type="cellIs" dxfId="3537" priority="9025" operator="equal">
      <formula>"Baja"</formula>
    </cfRule>
    <cfRule type="cellIs" dxfId="3536" priority="9026" operator="equal">
      <formula>"Muy Baja"</formula>
    </cfRule>
  </conditionalFormatting>
  <conditionalFormatting sqref="AL132">
    <cfRule type="cellIs" dxfId="3526" priority="8882" operator="equal">
      <formula>"Muy Baja"</formula>
    </cfRule>
    <cfRule type="cellIs" dxfId="3525" priority="8881" operator="equal">
      <formula>"Baja"</formula>
    </cfRule>
    <cfRule type="cellIs" dxfId="3524" priority="8880" operator="equal">
      <formula>"Media"</formula>
    </cfRule>
    <cfRule type="cellIs" dxfId="3523" priority="8879" operator="equal">
      <formula>"Alta"</formula>
    </cfRule>
    <cfRule type="cellIs" dxfId="3522" priority="8878" operator="equal">
      <formula>"Muy Alta"</formula>
    </cfRule>
  </conditionalFormatting>
  <conditionalFormatting sqref="AL142">
    <cfRule type="cellIs" dxfId="3513" priority="8853" operator="equal">
      <formula>"Alta"</formula>
    </cfRule>
    <cfRule type="cellIs" dxfId="3510" priority="8856" operator="equal">
      <formula>"Muy Baja"</formula>
    </cfRule>
    <cfRule type="cellIs" dxfId="3509" priority="8855" operator="equal">
      <formula>"Baja"</formula>
    </cfRule>
    <cfRule type="cellIs" dxfId="3508" priority="8854" operator="equal">
      <formula>"Media"</formula>
    </cfRule>
    <cfRule type="cellIs" dxfId="3507" priority="8852" operator="equal">
      <formula>"Muy Alta"</formula>
    </cfRule>
  </conditionalFormatting>
  <conditionalFormatting sqref="AL152">
    <cfRule type="cellIs" dxfId="3503" priority="8718" operator="equal">
      <formula>"Muy Baja"</formula>
    </cfRule>
    <cfRule type="cellIs" dxfId="3496" priority="8714" operator="equal">
      <formula>"Muy Alta"</formula>
    </cfRule>
    <cfRule type="cellIs" dxfId="3490" priority="8717" operator="equal">
      <formula>"Baja"</formula>
    </cfRule>
    <cfRule type="cellIs" dxfId="3489" priority="8716" operator="equal">
      <formula>"Media"</formula>
    </cfRule>
    <cfRule type="cellIs" dxfId="3488" priority="8715" operator="equal">
      <formula>"Alta"</formula>
    </cfRule>
  </conditionalFormatting>
  <conditionalFormatting sqref="AL162">
    <cfRule type="cellIs" dxfId="3487" priority="8571" operator="equal">
      <formula>"Alta"</formula>
    </cfRule>
    <cfRule type="cellIs" dxfId="3486" priority="8570" operator="equal">
      <formula>"Muy Alta"</formula>
    </cfRule>
    <cfRule type="cellIs" dxfId="3479" priority="8574" operator="equal">
      <formula>"Muy Baja"</formula>
    </cfRule>
    <cfRule type="cellIs" dxfId="3476" priority="8573" operator="equal">
      <formula>"Baja"</formula>
    </cfRule>
    <cfRule type="cellIs" dxfId="3472" priority="8572" operator="equal">
      <formula>"Media"</formula>
    </cfRule>
  </conditionalFormatting>
  <conditionalFormatting sqref="AL172">
    <cfRule type="cellIs" dxfId="3465" priority="8544" operator="equal">
      <formula>"Muy Alta"</formula>
    </cfRule>
    <cfRule type="cellIs" dxfId="3464" priority="8545" operator="equal">
      <formula>"Alta"</formula>
    </cfRule>
    <cfRule type="cellIs" dxfId="3463" priority="8546" operator="equal">
      <formula>"Media"</formula>
    </cfRule>
    <cfRule type="cellIs" dxfId="3461" priority="8548" operator="equal">
      <formula>"Muy Baja"</formula>
    </cfRule>
    <cfRule type="cellIs" dxfId="3456" priority="8547" operator="equal">
      <formula>"Baja"</formula>
    </cfRule>
  </conditionalFormatting>
  <conditionalFormatting sqref="AL182">
    <cfRule type="cellIs" dxfId="3453" priority="8410" operator="equal">
      <formula>"Muy Baja"</formula>
    </cfRule>
    <cfRule type="cellIs" dxfId="3452" priority="8409" operator="equal">
      <formula>"Baja"</formula>
    </cfRule>
    <cfRule type="cellIs" dxfId="3451" priority="8408" operator="equal">
      <formula>"Media"</formula>
    </cfRule>
    <cfRule type="cellIs" dxfId="3450" priority="8407" operator="equal">
      <formula>"Alta"</formula>
    </cfRule>
    <cfRule type="cellIs" dxfId="3449" priority="8406" operator="equal">
      <formula>"Muy Alta"</formula>
    </cfRule>
  </conditionalFormatting>
  <conditionalFormatting sqref="AL192">
    <cfRule type="cellIs" dxfId="3435" priority="8266" operator="equal">
      <formula>"Muy Baja"</formula>
    </cfRule>
    <cfRule type="cellIs" dxfId="3434" priority="8265" operator="equal">
      <formula>"Baja"</formula>
    </cfRule>
    <cfRule type="cellIs" dxfId="3433" priority="8264" operator="equal">
      <formula>"Media"</formula>
    </cfRule>
    <cfRule type="cellIs" dxfId="3432" priority="8263" operator="equal">
      <formula>"Alta"</formula>
    </cfRule>
    <cfRule type="cellIs" dxfId="3431" priority="8262" operator="equal">
      <formula>"Muy Alta"</formula>
    </cfRule>
  </conditionalFormatting>
  <conditionalFormatting sqref="AL202">
    <cfRule type="cellIs" dxfId="3423" priority="8239" operator="equal">
      <formula>"Baja"</formula>
    </cfRule>
    <cfRule type="cellIs" dxfId="3418" priority="8236" operator="equal">
      <formula>"Muy Alta"</formula>
    </cfRule>
    <cfRule type="cellIs" dxfId="3417" priority="8237" operator="equal">
      <formula>"Alta"</formula>
    </cfRule>
    <cfRule type="cellIs" dxfId="3416" priority="8238" operator="equal">
      <formula>"Media"</formula>
    </cfRule>
    <cfRule type="cellIs" dxfId="3414" priority="8240" operator="equal">
      <formula>"Muy Baja"</formula>
    </cfRule>
  </conditionalFormatting>
  <conditionalFormatting sqref="AL212">
    <cfRule type="cellIs" dxfId="3406" priority="8102" operator="equal">
      <formula>"Muy Baja"</formula>
    </cfRule>
    <cfRule type="cellIs" dxfId="3405" priority="8101" operator="equal">
      <formula>"Baja"</formula>
    </cfRule>
    <cfRule type="cellIs" dxfId="3404" priority="8100" operator="equal">
      <formula>"Media"</formula>
    </cfRule>
    <cfRule type="cellIs" dxfId="3403" priority="8099" operator="equal">
      <formula>"Alta"</formula>
    </cfRule>
    <cfRule type="cellIs" dxfId="3402" priority="8098" operator="equal">
      <formula>"Muy Alta"</formula>
    </cfRule>
  </conditionalFormatting>
  <conditionalFormatting sqref="AL222">
    <cfRule type="cellIs" dxfId="3391" priority="7510" operator="equal">
      <formula>"Muy Baja"</formula>
    </cfRule>
    <cfRule type="cellIs" dxfId="3390" priority="7509" operator="equal">
      <formula>"Baja"</formula>
    </cfRule>
    <cfRule type="cellIs" dxfId="3379" priority="7506" operator="equal">
      <formula>"Muy Alta"</formula>
    </cfRule>
    <cfRule type="cellIs" dxfId="3378" priority="7507" operator="equal">
      <formula>"Alta"</formula>
    </cfRule>
    <cfRule type="cellIs" dxfId="3376" priority="7508" operator="equal">
      <formula>"Media"</formula>
    </cfRule>
  </conditionalFormatting>
  <conditionalFormatting sqref="AL232">
    <cfRule type="cellIs" dxfId="3374" priority="7484" operator="equal">
      <formula>"Muy Baja"</formula>
    </cfRule>
    <cfRule type="cellIs" dxfId="3373" priority="7483" operator="equal">
      <formula>"Baja"</formula>
    </cfRule>
    <cfRule type="cellIs" dxfId="3372" priority="7482" operator="equal">
      <formula>"Media"</formula>
    </cfRule>
    <cfRule type="cellIs" dxfId="3371" priority="7481" operator="equal">
      <formula>"Alta"</formula>
    </cfRule>
    <cfRule type="cellIs" dxfId="3370" priority="7480" operator="equal">
      <formula>"Muy Alta"</formula>
    </cfRule>
  </conditionalFormatting>
  <conditionalFormatting sqref="AL242">
    <cfRule type="cellIs" dxfId="3359" priority="7457" operator="equal">
      <formula>"Baja"</formula>
    </cfRule>
    <cfRule type="cellIs" dxfId="3358" priority="7458" operator="equal">
      <formula>"Muy Baja"</formula>
    </cfRule>
    <cfRule type="cellIs" dxfId="3346" priority="7454" operator="equal">
      <formula>"Muy Alta"</formula>
    </cfRule>
    <cfRule type="cellIs" dxfId="3345" priority="7455" operator="equal">
      <formula>"Alta"</formula>
    </cfRule>
    <cfRule type="cellIs" dxfId="3344" priority="7456" operator="equal">
      <formula>"Media"</formula>
    </cfRule>
  </conditionalFormatting>
  <conditionalFormatting sqref="AL252">
    <cfRule type="cellIs" dxfId="3338" priority="7432" operator="equal">
      <formula>"Muy Baja"</formula>
    </cfRule>
    <cfRule type="cellIs" dxfId="3337" priority="7431" operator="equal">
      <formula>"Baja"</formula>
    </cfRule>
    <cfRule type="cellIs" dxfId="3336" priority="7430" operator="equal">
      <formula>"Media"</formula>
    </cfRule>
    <cfRule type="cellIs" dxfId="3334" priority="7429" operator="equal">
      <formula>"Alta"</formula>
    </cfRule>
    <cfRule type="cellIs" dxfId="3328" priority="7428" operator="equal">
      <formula>"Muy Alta"</formula>
    </cfRule>
  </conditionalFormatting>
  <conditionalFormatting sqref="AL262">
    <cfRule type="cellIs" dxfId="3326" priority="7403" operator="equal">
      <formula>"Alta"</formula>
    </cfRule>
    <cfRule type="cellIs" dxfId="3325" priority="7404" operator="equal">
      <formula>"Media"</formula>
    </cfRule>
    <cfRule type="cellIs" dxfId="3324" priority="7405" operator="equal">
      <formula>"Baja"</formula>
    </cfRule>
    <cfRule type="cellIs" dxfId="3323" priority="7406" operator="equal">
      <formula>"Muy Baja"</formula>
    </cfRule>
    <cfRule type="cellIs" dxfId="3322" priority="7402" operator="equal">
      <formula>"Muy Alta"</formula>
    </cfRule>
  </conditionalFormatting>
  <conditionalFormatting sqref="AL272">
    <cfRule type="cellIs" dxfId="3308" priority="7376" operator="equal">
      <formula>"Muy Alta"</formula>
    </cfRule>
    <cfRule type="cellIs" dxfId="3307" priority="7377" operator="equal">
      <formula>"Alta"</formula>
    </cfRule>
    <cfRule type="cellIs" dxfId="3306" priority="7378" operator="equal">
      <formula>"Media"</formula>
    </cfRule>
    <cfRule type="cellIs" dxfId="3305" priority="7379" operator="equal">
      <formula>"Baja"</formula>
    </cfRule>
    <cfRule type="cellIs" dxfId="3304" priority="7380" operator="equal">
      <formula>"Muy Baja"</formula>
    </cfRule>
  </conditionalFormatting>
  <conditionalFormatting sqref="AL282">
    <cfRule type="cellIs" dxfId="3287" priority="7354" operator="equal">
      <formula>"Muy Baja"</formula>
    </cfRule>
    <cfRule type="cellIs" dxfId="3286" priority="7353" operator="equal">
      <formula>"Baja"</formula>
    </cfRule>
    <cfRule type="cellIs" dxfId="3285" priority="7352" operator="equal">
      <formula>"Media"</formula>
    </cfRule>
    <cfRule type="cellIs" dxfId="3284" priority="7351" operator="equal">
      <formula>"Alta"</formula>
    </cfRule>
    <cfRule type="cellIs" dxfId="3283" priority="7350" operator="equal">
      <formula>"Muy Alta"</formula>
    </cfRule>
  </conditionalFormatting>
  <conditionalFormatting sqref="AL292">
    <cfRule type="cellIs" dxfId="3275" priority="7328" operator="equal">
      <formula>"Muy Baja"</formula>
    </cfRule>
    <cfRule type="cellIs" dxfId="3273" priority="7327" operator="equal">
      <formula>"Baja"</formula>
    </cfRule>
    <cfRule type="cellIs" dxfId="3272" priority="7326" operator="equal">
      <formula>"Media"</formula>
    </cfRule>
    <cfRule type="cellIs" dxfId="3271" priority="7325" operator="equal">
      <formula>"Alta"</formula>
    </cfRule>
    <cfRule type="cellIs" dxfId="3270" priority="7324" operator="equal">
      <formula>"Muy Alta"</formula>
    </cfRule>
  </conditionalFormatting>
  <conditionalFormatting sqref="AL302">
    <cfRule type="cellIs" dxfId="3263" priority="7300" operator="equal">
      <formula>"Media"</formula>
    </cfRule>
    <cfRule type="cellIs" dxfId="3262" priority="7298" operator="equal">
      <formula>"Muy Alta"</formula>
    </cfRule>
    <cfRule type="cellIs" dxfId="3255" priority="7299" operator="equal">
      <formula>"Alta"</formula>
    </cfRule>
    <cfRule type="cellIs" dxfId="3250" priority="7302" operator="equal">
      <formula>"Muy Baja"</formula>
    </cfRule>
    <cfRule type="cellIs" dxfId="3249" priority="7301" operator="equal">
      <formula>"Baja"</formula>
    </cfRule>
  </conditionalFormatting>
  <conditionalFormatting sqref="AL312">
    <cfRule type="cellIs" dxfId="3243" priority="7124" operator="equal">
      <formula>"Muy Alta"</formula>
    </cfRule>
    <cfRule type="cellIs" dxfId="3242" priority="7128" operator="equal">
      <formula>"Muy Baja"</formula>
    </cfRule>
    <cfRule type="cellIs" dxfId="3241" priority="7127" operator="equal">
      <formula>"Baja"</formula>
    </cfRule>
    <cfRule type="cellIs" dxfId="3240" priority="7126" operator="equal">
      <formula>"Media"</formula>
    </cfRule>
    <cfRule type="cellIs" dxfId="3233" priority="7125" operator="equal">
      <formula>"Alta"</formula>
    </cfRule>
  </conditionalFormatting>
  <conditionalFormatting sqref="AL322">
    <cfRule type="cellIs" dxfId="3231" priority="7024" operator="equal">
      <formula>"Muy Alta"</formula>
    </cfRule>
    <cfRule type="cellIs" dxfId="3230" priority="7026" operator="equal">
      <formula>"Media"</formula>
    </cfRule>
    <cfRule type="cellIs" dxfId="3218" priority="7027" operator="equal">
      <formula>"Baja"</formula>
    </cfRule>
    <cfRule type="cellIs" dxfId="3217" priority="7028" operator="equal">
      <formula>"Muy Baja"</formula>
    </cfRule>
    <cfRule type="cellIs" dxfId="3216" priority="7025" operator="equal">
      <formula>"Alta"</formula>
    </cfRule>
  </conditionalFormatting>
  <conditionalFormatting sqref="AL332">
    <cfRule type="cellIs" dxfId="3215" priority="6820" operator="equal">
      <formula>"Muy Baja"</formula>
    </cfRule>
    <cfRule type="cellIs" dxfId="3214" priority="6819" operator="equal">
      <formula>"Baja"</formula>
    </cfRule>
    <cfRule type="cellIs" dxfId="3213" priority="6818" operator="equal">
      <formula>"Media"</formula>
    </cfRule>
    <cfRule type="cellIs" dxfId="3212" priority="6817" operator="equal">
      <formula>"Alta"</formula>
    </cfRule>
    <cfRule type="cellIs" dxfId="3211" priority="6816" operator="equal">
      <formula>"Muy Alta"</formula>
    </cfRule>
  </conditionalFormatting>
  <conditionalFormatting sqref="AL342">
    <cfRule type="cellIs" dxfId="3198" priority="6794" operator="equal">
      <formula>"Muy Baja"</formula>
    </cfRule>
    <cfRule type="cellIs" dxfId="3191" priority="6790" operator="equal">
      <formula>"Muy Alta"</formula>
    </cfRule>
    <cfRule type="cellIs" dxfId="3187" priority="6791" operator="equal">
      <formula>"Alta"</formula>
    </cfRule>
    <cfRule type="cellIs" dxfId="3185" priority="6792" operator="equal">
      <formula>"Media"</formula>
    </cfRule>
    <cfRule type="cellIs" dxfId="3184" priority="6793" operator="equal">
      <formula>"Baja"</formula>
    </cfRule>
  </conditionalFormatting>
  <conditionalFormatting sqref="AL352">
    <cfRule type="cellIs" dxfId="3182" priority="6768" operator="equal">
      <formula>"Muy Baja"</formula>
    </cfRule>
    <cfRule type="cellIs" dxfId="3181" priority="6767" operator="equal">
      <formula>"Baja"</formula>
    </cfRule>
    <cfRule type="cellIs" dxfId="3180" priority="6766" operator="equal">
      <formula>"Media"</formula>
    </cfRule>
    <cfRule type="cellIs" dxfId="3179" priority="6765" operator="equal">
      <formula>"Alta"</formula>
    </cfRule>
    <cfRule type="cellIs" dxfId="3178" priority="6764" operator="equal">
      <formula>"Muy Alta"</formula>
    </cfRule>
  </conditionalFormatting>
  <conditionalFormatting sqref="AL362">
    <cfRule type="cellIs" dxfId="3166" priority="6626" operator="equal">
      <formula>"Muy Alta"</formula>
    </cfRule>
    <cfRule type="cellIs" dxfId="3155" priority="6630" operator="equal">
      <formula>"Muy Baja"</formula>
    </cfRule>
    <cfRule type="cellIs" dxfId="3154" priority="6629" operator="equal">
      <formula>"Baja"</formula>
    </cfRule>
    <cfRule type="cellIs" dxfId="3153" priority="6628" operator="equal">
      <formula>"Media"</formula>
    </cfRule>
    <cfRule type="cellIs" dxfId="3152" priority="6627" operator="equal">
      <formula>"Alta"</formula>
    </cfRule>
  </conditionalFormatting>
  <conditionalFormatting sqref="AL372">
    <cfRule type="cellIs" dxfId="3144" priority="6418" operator="equal">
      <formula>"Muy Alta"</formula>
    </cfRule>
    <cfRule type="cellIs" dxfId="3143" priority="6422" operator="equal">
      <formula>"Muy Baja"</formula>
    </cfRule>
    <cfRule type="cellIs" dxfId="3140" priority="6419" operator="equal">
      <formula>"Alta"</formula>
    </cfRule>
    <cfRule type="cellIs" dxfId="3139" priority="6420" operator="equal">
      <formula>"Media"</formula>
    </cfRule>
    <cfRule type="cellIs" dxfId="3138" priority="6421" operator="equal">
      <formula>"Baja"</formula>
    </cfRule>
  </conditionalFormatting>
  <conditionalFormatting sqref="AL382">
    <cfRule type="cellIs" dxfId="3125" priority="6392" operator="equal">
      <formula>"Muy Alta"</formula>
    </cfRule>
    <cfRule type="cellIs" dxfId="3124" priority="6393" operator="equal">
      <formula>"Alta"</formula>
    </cfRule>
    <cfRule type="cellIs" dxfId="3123" priority="6394" operator="equal">
      <formula>"Media"</formula>
    </cfRule>
    <cfRule type="cellIs" dxfId="3122" priority="6395" operator="equal">
      <formula>"Baja"</formula>
    </cfRule>
    <cfRule type="cellIs" dxfId="3121" priority="6396" operator="equal">
      <formula>"Muy Baja"</formula>
    </cfRule>
  </conditionalFormatting>
  <conditionalFormatting sqref="AL392">
    <cfRule type="cellIs" dxfId="3118" priority="6370" operator="equal">
      <formula>"Muy Baja"</formula>
    </cfRule>
    <cfRule type="cellIs" dxfId="3117" priority="6369" operator="equal">
      <formula>"Baja"</formula>
    </cfRule>
    <cfRule type="cellIs" dxfId="3116" priority="6368" operator="equal">
      <formula>"Media"</formula>
    </cfRule>
    <cfRule type="cellIs" dxfId="3115" priority="6367" operator="equal">
      <formula>"Alta"</formula>
    </cfRule>
    <cfRule type="cellIs" dxfId="3114" priority="6366" operator="equal">
      <formula>"Muy Alta"</formula>
    </cfRule>
  </conditionalFormatting>
  <conditionalFormatting sqref="AL402">
    <cfRule type="cellIs" dxfId="3095" priority="6228" operator="equal">
      <formula>"Muy Alta"</formula>
    </cfRule>
    <cfRule type="cellIs" dxfId="3094" priority="6229" operator="equal">
      <formula>"Alta"</formula>
    </cfRule>
    <cfRule type="cellIs" dxfId="3093" priority="6230" operator="equal">
      <formula>"Media"</formula>
    </cfRule>
    <cfRule type="cellIs" dxfId="3092" priority="6231" operator="equal">
      <formula>"Baja"</formula>
    </cfRule>
    <cfRule type="cellIs" dxfId="3091" priority="6232" operator="equal">
      <formula>"Muy Baja"</formula>
    </cfRule>
  </conditionalFormatting>
  <conditionalFormatting sqref="AL412">
    <cfRule type="cellIs" dxfId="3083" priority="6152" operator="equal">
      <formula>"Muy Baja"</formula>
    </cfRule>
    <cfRule type="cellIs" dxfId="3082" priority="6151" operator="equal">
      <formula>"Baja"</formula>
    </cfRule>
    <cfRule type="cellIs" dxfId="3080" priority="6150" operator="equal">
      <formula>"Media"</formula>
    </cfRule>
    <cfRule type="cellIs" dxfId="3079" priority="6149" operator="equal">
      <formula>"Alta"</formula>
    </cfRule>
    <cfRule type="cellIs" dxfId="3078" priority="6148" operator="equal">
      <formula>"Muy Alta"</formula>
    </cfRule>
  </conditionalFormatting>
  <conditionalFormatting sqref="AL422">
    <cfRule type="cellIs" dxfId="3071" priority="6012" operator="equal">
      <formula>"Media"</formula>
    </cfRule>
    <cfRule type="cellIs" dxfId="3070" priority="6011" operator="equal">
      <formula>"Alta"</formula>
    </cfRule>
    <cfRule type="cellIs" dxfId="3065" priority="6014" operator="equal">
      <formula>"Muy Baja"</formula>
    </cfRule>
    <cfRule type="cellIs" dxfId="3064" priority="6013" operator="equal">
      <formula>"Baja"</formula>
    </cfRule>
    <cfRule type="cellIs" dxfId="3062" priority="6010" operator="equal">
      <formula>"Muy Alta"</formula>
    </cfRule>
  </conditionalFormatting>
  <conditionalFormatting sqref="AL432">
    <cfRule type="cellIs" dxfId="3055" priority="5932" operator="equal">
      <formula>"Media"</formula>
    </cfRule>
    <cfRule type="cellIs" dxfId="3054" priority="5933" operator="equal">
      <formula>"Baja"</formula>
    </cfRule>
    <cfRule type="cellIs" dxfId="3053" priority="5934" operator="equal">
      <formula>"Muy Baja"</formula>
    </cfRule>
    <cfRule type="cellIs" dxfId="3043" priority="5930" operator="equal">
      <formula>"Muy Alta"</formula>
    </cfRule>
    <cfRule type="cellIs" dxfId="3042" priority="5931" operator="equal">
      <formula>"Alta"</formula>
    </cfRule>
  </conditionalFormatting>
  <conditionalFormatting sqref="AL442">
    <cfRule type="cellIs" dxfId="3028" priority="5456" operator="equal">
      <formula>"Muy Alta"</formula>
    </cfRule>
    <cfRule type="cellIs" dxfId="3027" priority="5457" operator="equal">
      <formula>"Alta"</formula>
    </cfRule>
    <cfRule type="cellIs" dxfId="3026" priority="5458" operator="equal">
      <formula>"Media"</formula>
    </cfRule>
    <cfRule type="cellIs" dxfId="3025" priority="5459" operator="equal">
      <formula>"Baja"</formula>
    </cfRule>
    <cfRule type="cellIs" dxfId="3024" priority="5460" operator="equal">
      <formula>"Muy Baja"</formula>
    </cfRule>
  </conditionalFormatting>
  <conditionalFormatting sqref="AL452">
    <cfRule type="cellIs" dxfId="3023" priority="5430" operator="equal">
      <formula>"Muy Alta"</formula>
    </cfRule>
    <cfRule type="cellIs" dxfId="3018" priority="5434" operator="equal">
      <formula>"Muy Baja"</formula>
    </cfRule>
    <cfRule type="cellIs" dxfId="3014" priority="5431" operator="equal">
      <formula>"Alta"</formula>
    </cfRule>
    <cfRule type="cellIs" dxfId="3013" priority="5432" operator="equal">
      <formula>"Media"</formula>
    </cfRule>
    <cfRule type="cellIs" dxfId="3012" priority="5433" operator="equal">
      <formula>"Baja"</formula>
    </cfRule>
  </conditionalFormatting>
  <conditionalFormatting sqref="AL462">
    <cfRule type="cellIs" dxfId="3007" priority="5414" operator="equal">
      <formula>"Muy Alta"</formula>
    </cfRule>
    <cfRule type="cellIs" dxfId="3006" priority="5415" operator="equal">
      <formula>"Alta"</formula>
    </cfRule>
    <cfRule type="cellIs" dxfId="3005" priority="5416" operator="equal">
      <formula>"Media"</formula>
    </cfRule>
    <cfRule type="cellIs" dxfId="3004" priority="5417" operator="equal">
      <formula>"Baja"</formula>
    </cfRule>
    <cfRule type="cellIs" dxfId="2998" priority="5418" operator="equal">
      <formula>"Muy Baja"</formula>
    </cfRule>
  </conditionalFormatting>
  <conditionalFormatting sqref="AL472">
    <cfRule type="cellIs" dxfId="2983" priority="5398" operator="equal">
      <formula>"Muy Alta"</formula>
    </cfRule>
    <cfRule type="cellIs" dxfId="2982" priority="5399" operator="equal">
      <formula>"Alta"</formula>
    </cfRule>
    <cfRule type="cellIs" dxfId="2981" priority="5400" operator="equal">
      <formula>"Media"</formula>
    </cfRule>
    <cfRule type="cellIs" dxfId="2980" priority="5401" operator="equal">
      <formula>"Baja"</formula>
    </cfRule>
    <cfRule type="cellIs" dxfId="2979" priority="5402" operator="equal">
      <formula>"Muy Baja"</formula>
    </cfRule>
  </conditionalFormatting>
  <conditionalFormatting sqref="AL482">
    <cfRule type="cellIs" dxfId="2967" priority="5382" operator="equal">
      <formula>"Muy Alta"</formula>
    </cfRule>
    <cfRule type="cellIs" dxfId="2965" priority="5383" operator="equal">
      <formula>"Alta"</formula>
    </cfRule>
    <cfRule type="cellIs" dxfId="2964" priority="5384" operator="equal">
      <formula>"Media"</formula>
    </cfRule>
    <cfRule type="cellIs" dxfId="2963" priority="5385" operator="equal">
      <formula>"Baja"</formula>
    </cfRule>
    <cfRule type="cellIs" dxfId="2962" priority="5386" operator="equal">
      <formula>"Muy Baja"</formula>
    </cfRule>
  </conditionalFormatting>
  <conditionalFormatting sqref="AL492">
    <cfRule type="cellIs" dxfId="2959" priority="5369" operator="equal">
      <formula>"Baja"</formula>
    </cfRule>
    <cfRule type="cellIs" dxfId="2947" priority="5366" operator="equal">
      <formula>"Muy Alta"</formula>
    </cfRule>
    <cfRule type="cellIs" dxfId="2946" priority="5367" operator="equal">
      <formula>"Alta"</formula>
    </cfRule>
    <cfRule type="cellIs" dxfId="2945" priority="5368" operator="equal">
      <formula>"Media"</formula>
    </cfRule>
    <cfRule type="cellIs" dxfId="2944" priority="5370" operator="equal">
      <formula>"Muy Baja"</formula>
    </cfRule>
  </conditionalFormatting>
  <conditionalFormatting sqref="AL502">
    <cfRule type="cellIs" dxfId="2934" priority="5134" operator="equal">
      <formula>"Muy Alta"</formula>
    </cfRule>
    <cfRule type="cellIs" dxfId="2933" priority="5135" operator="equal">
      <formula>"Alta"</formula>
    </cfRule>
    <cfRule type="cellIs" dxfId="2932" priority="5136" operator="equal">
      <formula>"Media"</formula>
    </cfRule>
    <cfRule type="cellIs" dxfId="2931" priority="5137" operator="equal">
      <formula>"Baja"</formula>
    </cfRule>
    <cfRule type="cellIs" dxfId="2930" priority="5138" operator="equal">
      <formula>"Muy Baja"</formula>
    </cfRule>
  </conditionalFormatting>
  <conditionalFormatting sqref="AL512">
    <cfRule type="cellIs" dxfId="2922" priority="5112" operator="equal">
      <formula>"Muy Baja"</formula>
    </cfRule>
    <cfRule type="cellIs" dxfId="2921" priority="5111" operator="equal">
      <formula>"Baja"</formula>
    </cfRule>
    <cfRule type="cellIs" dxfId="2920" priority="5110" operator="equal">
      <formula>"Media"</formula>
    </cfRule>
    <cfRule type="cellIs" dxfId="2919" priority="5109" operator="equal">
      <formula>"Alta"</formula>
    </cfRule>
    <cfRule type="cellIs" dxfId="2918" priority="5108" operator="equal">
      <formula>"Muy Alta"</formula>
    </cfRule>
  </conditionalFormatting>
  <conditionalFormatting sqref="AL522">
    <cfRule type="cellIs" dxfId="2906" priority="5086" operator="equal">
      <formula>"Muy Baja"</formula>
    </cfRule>
    <cfRule type="cellIs" dxfId="2905" priority="5085" operator="equal">
      <formula>"Baja"</formula>
    </cfRule>
    <cfRule type="cellIs" dxfId="2904" priority="5084" operator="equal">
      <formula>"Media"</formula>
    </cfRule>
    <cfRule type="cellIs" dxfId="2903" priority="5083" operator="equal">
      <formula>"Alta"</formula>
    </cfRule>
    <cfRule type="cellIs" dxfId="2902" priority="5082" operator="equal">
      <formula>"Muy Alta"</formula>
    </cfRule>
  </conditionalFormatting>
  <conditionalFormatting sqref="AL532">
    <cfRule type="cellIs" dxfId="2895" priority="4979" operator="equal">
      <formula>"Baja"</formula>
    </cfRule>
    <cfRule type="cellIs" dxfId="2894" priority="4978" operator="equal">
      <formula>"Media"</formula>
    </cfRule>
    <cfRule type="cellIs" dxfId="2893" priority="4977" operator="equal">
      <formula>"Alta"</formula>
    </cfRule>
    <cfRule type="cellIs" dxfId="2892" priority="4976" operator="equal">
      <formula>"Muy Alta"</formula>
    </cfRule>
    <cfRule type="cellIs" dxfId="2880" priority="4980" operator="equal">
      <formula>"Muy Baja"</formula>
    </cfRule>
  </conditionalFormatting>
  <conditionalFormatting sqref="AL542">
    <cfRule type="cellIs" dxfId="2874" priority="4896" operator="equal">
      <formula>"Muy Alta"</formula>
    </cfRule>
    <cfRule type="cellIs" dxfId="2873" priority="4900" operator="equal">
      <formula>"Muy Baja"</formula>
    </cfRule>
    <cfRule type="cellIs" dxfId="2872" priority="4898" operator="equal">
      <formula>"Media"</formula>
    </cfRule>
    <cfRule type="cellIs" dxfId="2871" priority="4897" operator="equal">
      <formula>"Alta"</formula>
    </cfRule>
    <cfRule type="cellIs" dxfId="2864" priority="4899" operator="equal">
      <formula>"Baja"</formula>
    </cfRule>
  </conditionalFormatting>
  <conditionalFormatting sqref="AL552">
    <cfRule type="cellIs" dxfId="2853" priority="4742" operator="equal">
      <formula>"Muy Alta"</formula>
    </cfRule>
    <cfRule type="cellIs" dxfId="2852" priority="4743" operator="equal">
      <formula>"Alta"</formula>
    </cfRule>
    <cfRule type="cellIs" dxfId="2851" priority="4744" operator="equal">
      <formula>"Media"</formula>
    </cfRule>
    <cfRule type="cellIs" dxfId="2850" priority="4745" operator="equal">
      <formula>"Baja"</formula>
    </cfRule>
    <cfRule type="cellIs" dxfId="2849" priority="4746" operator="equal">
      <formula>"Muy Baja"</formula>
    </cfRule>
  </conditionalFormatting>
  <conditionalFormatting sqref="AL562">
    <cfRule type="cellIs" dxfId="2844" priority="4569" operator="equal">
      <formula>"Baja"</formula>
    </cfRule>
    <cfRule type="cellIs" dxfId="2842" priority="4567" operator="equal">
      <formula>"Alta"</formula>
    </cfRule>
    <cfRule type="cellIs" dxfId="2841" priority="4568" operator="equal">
      <formula>"Media"</formula>
    </cfRule>
    <cfRule type="cellIs" dxfId="2840" priority="4566" operator="equal">
      <formula>"Muy Alta"</formula>
    </cfRule>
    <cfRule type="cellIs" dxfId="2832" priority="4570" operator="equal">
      <formula>"Muy Baja"</formula>
    </cfRule>
  </conditionalFormatting>
  <conditionalFormatting sqref="AL572">
    <cfRule type="cellIs" dxfId="2824" priority="4540" operator="equal">
      <formula>"Muy Alta"</formula>
    </cfRule>
    <cfRule type="cellIs" dxfId="2823" priority="4541" operator="equal">
      <formula>"Alta"</formula>
    </cfRule>
    <cfRule type="cellIs" dxfId="2822" priority="4543" operator="equal">
      <formula>"Baja"</formula>
    </cfRule>
    <cfRule type="cellIs" dxfId="2821" priority="4544" operator="equal">
      <formula>"Muy Baja"</formula>
    </cfRule>
    <cfRule type="cellIs" dxfId="2820" priority="4542" operator="equal">
      <formula>"Media"</formula>
    </cfRule>
  </conditionalFormatting>
  <conditionalFormatting sqref="AL582">
    <cfRule type="cellIs" dxfId="2811" priority="4237" operator="equal">
      <formula>"Alta"</formula>
    </cfRule>
    <cfRule type="cellIs" dxfId="2810" priority="4240" operator="equal">
      <formula>"Muy Baja"</formula>
    </cfRule>
    <cfRule type="cellIs" dxfId="2807" priority="4238" operator="equal">
      <formula>"Media"</formula>
    </cfRule>
    <cfRule type="cellIs" dxfId="2803" priority="4239" operator="equal">
      <formula>"Baja"</formula>
    </cfRule>
    <cfRule type="cellIs" dxfId="2800" priority="4236" operator="equal">
      <formula>"Muy Alta"</formula>
    </cfRule>
  </conditionalFormatting>
  <conditionalFormatting sqref="AL592">
    <cfRule type="cellIs" dxfId="2797" priority="4211" operator="equal">
      <formula>"Alta"</formula>
    </cfRule>
    <cfRule type="cellIs" dxfId="2795" priority="4212" operator="equal">
      <formula>"Media"</formula>
    </cfRule>
    <cfRule type="cellIs" dxfId="2794" priority="4213" operator="equal">
      <formula>"Baja"</formula>
    </cfRule>
    <cfRule type="cellIs" dxfId="2793" priority="4214" operator="equal">
      <formula>"Muy Baja"</formula>
    </cfRule>
    <cfRule type="cellIs" dxfId="2790" priority="4210" operator="equal">
      <formula>"Muy Alta"</formula>
    </cfRule>
  </conditionalFormatting>
  <conditionalFormatting sqref="AL602">
    <cfRule type="cellIs" dxfId="2782" priority="4188" operator="equal">
      <formula>"Muy Baja"</formula>
    </cfRule>
    <cfRule type="cellIs" dxfId="2781" priority="4187" operator="equal">
      <formula>"Baja"</formula>
    </cfRule>
    <cfRule type="cellIs" dxfId="2779" priority="4186" operator="equal">
      <formula>"Media"</formula>
    </cfRule>
    <cfRule type="cellIs" dxfId="2778" priority="4185" operator="equal">
      <formula>"Alta"</formula>
    </cfRule>
    <cfRule type="cellIs" dxfId="2777" priority="4184" operator="equal">
      <formula>"Muy Alta"</formula>
    </cfRule>
  </conditionalFormatting>
  <conditionalFormatting sqref="AL612">
    <cfRule type="cellIs" dxfId="2765" priority="4050" operator="equal">
      <formula>"Muy Baja"</formula>
    </cfRule>
    <cfRule type="cellIs" dxfId="2764" priority="4049" operator="equal">
      <formula>"Baja"</formula>
    </cfRule>
    <cfRule type="cellIs" dxfId="2763" priority="4048" operator="equal">
      <formula>"Media"</formula>
    </cfRule>
    <cfRule type="cellIs" dxfId="2762" priority="4047" operator="equal">
      <formula>"Alta"</formula>
    </cfRule>
    <cfRule type="cellIs" dxfId="2761" priority="4046" operator="equal">
      <formula>"Muy Alta"</formula>
    </cfRule>
  </conditionalFormatting>
  <conditionalFormatting sqref="AL622">
    <cfRule type="cellIs" dxfId="2751" priority="3950" operator="equal">
      <formula>"Muy Baja"</formula>
    </cfRule>
    <cfRule type="cellIs" dxfId="2750" priority="3949" operator="equal">
      <formula>"Baja"</formula>
    </cfRule>
    <cfRule type="cellIs" dxfId="2749" priority="3948" operator="equal">
      <formula>"Media"</formula>
    </cfRule>
    <cfRule type="cellIs" dxfId="2743" priority="3947" operator="equal">
      <formula>"Alta"</formula>
    </cfRule>
    <cfRule type="cellIs" dxfId="2741" priority="3946" operator="equal">
      <formula>"Muy Alta"</formula>
    </cfRule>
  </conditionalFormatting>
  <conditionalFormatting sqref="AL632">
    <cfRule type="cellIs" dxfId="2726" priority="3806" operator="equal">
      <formula>"Muy Baja"</formula>
    </cfRule>
    <cfRule type="cellIs" dxfId="2725" priority="3805" operator="equal">
      <formula>"Baja"</formula>
    </cfRule>
    <cfRule type="cellIs" dxfId="2724" priority="3804" operator="equal">
      <formula>"Media"</formula>
    </cfRule>
    <cfRule type="cellIs" dxfId="2723" priority="3803" operator="equal">
      <formula>"Alta"</formula>
    </cfRule>
    <cfRule type="cellIs" dxfId="2722" priority="3802" operator="equal">
      <formula>"Muy Alta"</formula>
    </cfRule>
  </conditionalFormatting>
  <conditionalFormatting sqref="AL642">
    <cfRule type="cellIs" dxfId="2710" priority="3776" operator="equal">
      <formula>"Muy Alta"</formula>
    </cfRule>
    <cfRule type="cellIs" dxfId="2708" priority="3777" operator="equal">
      <formula>"Alta"</formula>
    </cfRule>
    <cfRule type="cellIs" dxfId="2707" priority="3778" operator="equal">
      <formula>"Media"</formula>
    </cfRule>
    <cfRule type="cellIs" dxfId="2706" priority="3779" operator="equal">
      <formula>"Baja"</formula>
    </cfRule>
    <cfRule type="cellIs" dxfId="2705" priority="3780" operator="equal">
      <formula>"Muy Baja"</formula>
    </cfRule>
  </conditionalFormatting>
  <conditionalFormatting sqref="AL652">
    <cfRule type="cellIs" dxfId="2699" priority="3630" operator="equal">
      <formula>"Muy Baja"</formula>
    </cfRule>
    <cfRule type="cellIs" dxfId="2698" priority="3629" operator="equal">
      <formula>"Baja"</formula>
    </cfRule>
    <cfRule type="cellIs" dxfId="2697" priority="3628" operator="equal">
      <formula>"Media"</formula>
    </cfRule>
    <cfRule type="cellIs" dxfId="2693" priority="3627" operator="equal">
      <formula>"Alta"</formula>
    </cfRule>
    <cfRule type="cellIs" dxfId="2688" priority="3626" operator="equal">
      <formula>"Muy Alta"</formula>
    </cfRule>
  </conditionalFormatting>
  <conditionalFormatting sqref="AL662">
    <cfRule type="cellIs" dxfId="2679" priority="3190" operator="equal">
      <formula>"Muy Alta"</formula>
    </cfRule>
    <cfRule type="cellIs" dxfId="2678" priority="3191" operator="equal">
      <formula>"Alta"</formula>
    </cfRule>
    <cfRule type="cellIs" dxfId="2677" priority="3192" operator="equal">
      <formula>"Media"</formula>
    </cfRule>
    <cfRule type="cellIs" dxfId="2676" priority="3193" operator="equal">
      <formula>"Baja"</formula>
    </cfRule>
    <cfRule type="cellIs" dxfId="2675" priority="3194" operator="equal">
      <formula>"Muy Baja"</formula>
    </cfRule>
  </conditionalFormatting>
  <conditionalFormatting sqref="AL672">
    <cfRule type="cellIs" dxfId="2670" priority="3165" operator="equal">
      <formula>"Alta"</formula>
    </cfRule>
    <cfRule type="cellIs" dxfId="2669" priority="3166" operator="equal">
      <formula>"Media"</formula>
    </cfRule>
    <cfRule type="cellIs" dxfId="2665" priority="3164" operator="equal">
      <formula>"Muy Alta"</formula>
    </cfRule>
    <cfRule type="cellIs" dxfId="2659" priority="3167" operator="equal">
      <formula>"Baja"</formula>
    </cfRule>
    <cfRule type="cellIs" dxfId="2658" priority="3168" operator="equal">
      <formula>"Muy Baja"</formula>
    </cfRule>
  </conditionalFormatting>
  <conditionalFormatting sqref="AL682">
    <cfRule type="cellIs" dxfId="2647" priority="3138" operator="equal">
      <formula>"Muy Alta"</formula>
    </cfRule>
    <cfRule type="cellIs" dxfId="2643" priority="3142" operator="equal">
      <formula>"Muy Baja"</formula>
    </cfRule>
    <cfRule type="cellIs" dxfId="2642" priority="3141" operator="equal">
      <formula>"Baja"</formula>
    </cfRule>
    <cfRule type="cellIs" dxfId="2641" priority="3140" operator="equal">
      <formula>"Media"</formula>
    </cfRule>
    <cfRule type="cellIs" dxfId="2640" priority="3139" operator="equal">
      <formula>"Alta"</formula>
    </cfRule>
  </conditionalFormatting>
  <conditionalFormatting sqref="AL692">
    <cfRule type="cellIs" dxfId="2637" priority="3112" operator="equal">
      <formula>"Muy Alta"</formula>
    </cfRule>
    <cfRule type="cellIs" dxfId="2636" priority="3113" operator="equal">
      <formula>"Alta"</formula>
    </cfRule>
    <cfRule type="cellIs" dxfId="2633" priority="3114" operator="equal">
      <formula>"Media"</formula>
    </cfRule>
    <cfRule type="cellIs" dxfId="2631" priority="3115" operator="equal">
      <formula>"Baja"</formula>
    </cfRule>
    <cfRule type="cellIs" dxfId="2630" priority="3116" operator="equal">
      <formula>"Muy Baja"</formula>
    </cfRule>
  </conditionalFormatting>
  <conditionalFormatting sqref="AL702">
    <cfRule type="cellIs" dxfId="2618" priority="3090" operator="equal">
      <formula>"Muy Baja"</formula>
    </cfRule>
    <cfRule type="cellIs" dxfId="2614" priority="3086" operator="equal">
      <formula>"Muy Alta"</formula>
    </cfRule>
    <cfRule type="cellIs" dxfId="2610" priority="3087" operator="equal">
      <formula>"Alta"</formula>
    </cfRule>
    <cfRule type="cellIs" dxfId="2609" priority="3088" operator="equal">
      <formula>"Media"</formula>
    </cfRule>
    <cfRule type="cellIs" dxfId="2608" priority="3089" operator="equal">
      <formula>"Baja"</formula>
    </cfRule>
  </conditionalFormatting>
  <conditionalFormatting sqref="AL712">
    <cfRule type="cellIs" dxfId="2607" priority="3060" operator="equal">
      <formula>"Muy Alta"</formula>
    </cfRule>
    <cfRule type="cellIs" dxfId="2601" priority="3061" operator="equal">
      <formula>"Alta"</formula>
    </cfRule>
    <cfRule type="cellIs" dxfId="2596" priority="3062" operator="equal">
      <formula>"Media"</formula>
    </cfRule>
    <cfRule type="cellIs" dxfId="2593" priority="3063" operator="equal">
      <formula>"Baja"</formula>
    </cfRule>
    <cfRule type="cellIs" dxfId="2592" priority="3064" operator="equal">
      <formula>"Muy Baja"</formula>
    </cfRule>
  </conditionalFormatting>
  <conditionalFormatting sqref="AL722">
    <cfRule type="cellIs" dxfId="2591" priority="2427" operator="equal">
      <formula>"Baja"</formula>
    </cfRule>
    <cfRule type="cellIs" dxfId="2590" priority="2426" operator="equal">
      <formula>"Media"</formula>
    </cfRule>
    <cfRule type="cellIs" dxfId="2588" priority="2424" operator="equal">
      <formula>"Muy Alta"</formula>
    </cfRule>
    <cfRule type="cellIs" dxfId="2587" priority="2425" operator="equal">
      <formula>"Alta"</formula>
    </cfRule>
    <cfRule type="cellIs" dxfId="2584" priority="2428" operator="equal">
      <formula>"Muy Baja"</formula>
    </cfRule>
  </conditionalFormatting>
  <conditionalFormatting sqref="AL732">
    <cfRule type="cellIs" dxfId="2571" priority="2399" operator="equal">
      <formula>"Alta"</formula>
    </cfRule>
    <cfRule type="cellIs" dxfId="2570" priority="2400" operator="equal">
      <formula>"Media"</formula>
    </cfRule>
    <cfRule type="cellIs" dxfId="2569" priority="2401" operator="equal">
      <formula>"Baja"</formula>
    </cfRule>
    <cfRule type="cellIs" dxfId="2568" priority="2402" operator="equal">
      <formula>"Muy Baja"</formula>
    </cfRule>
    <cfRule type="cellIs" dxfId="2566" priority="2398" operator="equal">
      <formula>"Muy Alta"</formula>
    </cfRule>
  </conditionalFormatting>
  <conditionalFormatting sqref="AL742">
    <cfRule type="cellIs" dxfId="2556" priority="2372" operator="equal">
      <formula>"Muy Alta"</formula>
    </cfRule>
    <cfRule type="cellIs" dxfId="2555" priority="2373" operator="equal">
      <formula>"Alta"</formula>
    </cfRule>
    <cfRule type="cellIs" dxfId="2554" priority="2374" operator="equal">
      <formula>"Media"</formula>
    </cfRule>
    <cfRule type="cellIs" dxfId="2553" priority="2375" operator="equal">
      <formula>"Baja"</formula>
    </cfRule>
    <cfRule type="cellIs" dxfId="2552" priority="2376" operator="equal">
      <formula>"Muy Baja"</formula>
    </cfRule>
  </conditionalFormatting>
  <conditionalFormatting sqref="AL752">
    <cfRule type="cellIs" dxfId="2538" priority="2349" operator="equal">
      <formula>"Baja"</formula>
    </cfRule>
    <cfRule type="cellIs" dxfId="2536" priority="2350" operator="equal">
      <formula>"Muy Baja"</formula>
    </cfRule>
    <cfRule type="cellIs" dxfId="2532" priority="2348" operator="equal">
      <formula>"Media"</formula>
    </cfRule>
    <cfRule type="cellIs" dxfId="2531" priority="2347" operator="equal">
      <formula>"Alta"</formula>
    </cfRule>
    <cfRule type="cellIs" dxfId="2530" priority="2346" operator="equal">
      <formula>"Muy Alta"</formula>
    </cfRule>
  </conditionalFormatting>
  <conditionalFormatting sqref="AL762">
    <cfRule type="cellIs" dxfId="2523" priority="2320" operator="equal">
      <formula>"Muy Alta"</formula>
    </cfRule>
    <cfRule type="cellIs" dxfId="2522" priority="2321" operator="equal">
      <formula>"Alta"</formula>
    </cfRule>
    <cfRule type="cellIs" dxfId="2521" priority="2322" operator="equal">
      <formula>"Media"</formula>
    </cfRule>
    <cfRule type="cellIs" dxfId="2520" priority="2324" operator="equal">
      <formula>"Muy Baja"</formula>
    </cfRule>
    <cfRule type="cellIs" dxfId="2518" priority="2323" operator="equal">
      <formula>"Baja"</formula>
    </cfRule>
  </conditionalFormatting>
  <conditionalFormatting sqref="AL772">
    <cfRule type="cellIs" dxfId="2509" priority="2298" operator="equal">
      <formula>"Muy Baja"</formula>
    </cfRule>
    <cfRule type="cellIs" dxfId="2507" priority="2297" operator="equal">
      <formula>"Baja"</formula>
    </cfRule>
    <cfRule type="cellIs" dxfId="2504" priority="2294" operator="equal">
      <formula>"Muy Alta"</formula>
    </cfRule>
    <cfRule type="cellIs" dxfId="2503" priority="2295" operator="equal">
      <formula>"Alta"</formula>
    </cfRule>
    <cfRule type="cellIs" dxfId="2501" priority="2296" operator="equal">
      <formula>"Media"</formula>
    </cfRule>
  </conditionalFormatting>
  <conditionalFormatting sqref="AL782">
    <cfRule type="cellIs" dxfId="2489" priority="2271" operator="equal">
      <formula>"Baja"</formula>
    </cfRule>
    <cfRule type="cellIs" dxfId="2488" priority="2270" operator="equal">
      <formula>"Media"</formula>
    </cfRule>
    <cfRule type="cellIs" dxfId="2487" priority="2269" operator="equal">
      <formula>"Alta"</formula>
    </cfRule>
    <cfRule type="cellIs" dxfId="2486" priority="2268" operator="equal">
      <formula>"Muy Alta"</formula>
    </cfRule>
    <cfRule type="cellIs" dxfId="2480" priority="2272" operator="equal">
      <formula>"Muy Baja"</formula>
    </cfRule>
  </conditionalFormatting>
  <conditionalFormatting sqref="AL792">
    <cfRule type="cellIs" dxfId="2479" priority="2246" operator="equal">
      <formula>"Muy Baja"</formula>
    </cfRule>
    <cfRule type="cellIs" dxfId="2478" priority="2245" operator="equal">
      <formula>"Baja"</formula>
    </cfRule>
    <cfRule type="cellIs" dxfId="2477" priority="2244" operator="equal">
      <formula>"Media"</formula>
    </cfRule>
    <cfRule type="cellIs" dxfId="2476" priority="2243" operator="equal">
      <formula>"Alta"</formula>
    </cfRule>
    <cfRule type="cellIs" dxfId="2475" priority="2242" operator="equal">
      <formula>"Muy Alta"</formula>
    </cfRule>
  </conditionalFormatting>
  <conditionalFormatting sqref="AL802">
    <cfRule type="cellIs" dxfId="2462" priority="2220" operator="equal">
      <formula>"Muy Baja"</formula>
    </cfRule>
    <cfRule type="cellIs" dxfId="2461" priority="2219" operator="equal">
      <formula>"Baja"</formula>
    </cfRule>
    <cfRule type="cellIs" dxfId="2460" priority="2218" operator="equal">
      <formula>"Media"</formula>
    </cfRule>
    <cfRule type="cellIs" dxfId="2459" priority="2217" operator="equal">
      <formula>"Alta"</formula>
    </cfRule>
    <cfRule type="cellIs" dxfId="2458" priority="2216" operator="equal">
      <formula>"Muy Alta"</formula>
    </cfRule>
  </conditionalFormatting>
  <conditionalFormatting sqref="AL812">
    <cfRule type="cellIs" dxfId="2446" priority="1696" operator="equal">
      <formula>"Muy Alta"</formula>
    </cfRule>
    <cfRule type="cellIs" dxfId="2435" priority="1697" operator="equal">
      <formula>"Alta"</formula>
    </cfRule>
    <cfRule type="cellIs" dxfId="2434" priority="1698" operator="equal">
      <formula>"Media"</formula>
    </cfRule>
    <cfRule type="cellIs" dxfId="2433" priority="1699" operator="equal">
      <formula>"Baja"</formula>
    </cfRule>
    <cfRule type="cellIs" dxfId="2432" priority="1700" operator="equal">
      <formula>"Muy Baja"</formula>
    </cfRule>
  </conditionalFormatting>
  <conditionalFormatting sqref="AL822">
    <cfRule type="cellIs" dxfId="2431" priority="1672" operator="equal">
      <formula>"Media"</formula>
    </cfRule>
    <cfRule type="cellIs" dxfId="2430" priority="1671" operator="equal">
      <formula>"Alta"</formula>
    </cfRule>
    <cfRule type="cellIs" dxfId="2429" priority="1674" operator="equal">
      <formula>"Muy Baja"</formula>
    </cfRule>
    <cfRule type="cellIs" dxfId="2428" priority="1673" operator="equal">
      <formula>"Baja"</formula>
    </cfRule>
    <cfRule type="cellIs" dxfId="2416" priority="1670" operator="equal">
      <formula>"Muy Alta"</formula>
    </cfRule>
  </conditionalFormatting>
  <conditionalFormatting sqref="AL832">
    <cfRule type="cellIs" dxfId="2406" priority="1647" operator="equal">
      <formula>"Baja"</formula>
    </cfRule>
    <cfRule type="cellIs" dxfId="2405" priority="1646" operator="equal">
      <formula>"Media"</formula>
    </cfRule>
    <cfRule type="cellIs" dxfId="2404" priority="1648" operator="equal">
      <formula>"Muy Baja"</formula>
    </cfRule>
    <cfRule type="cellIs" dxfId="2403" priority="1645" operator="equal">
      <formula>"Alta"</formula>
    </cfRule>
    <cfRule type="cellIs" dxfId="2402" priority="1644" operator="equal">
      <formula>"Muy Alta"</formula>
    </cfRule>
  </conditionalFormatting>
  <conditionalFormatting sqref="AL842">
    <cfRule type="cellIs" dxfId="2396" priority="1622" operator="equal">
      <formula>"Muy Baja"</formula>
    </cfRule>
    <cfRule type="cellIs" dxfId="2395" priority="1621" operator="equal">
      <formula>"Baja"</formula>
    </cfRule>
    <cfRule type="cellIs" dxfId="2394" priority="1620" operator="equal">
      <formula>"Media"</formula>
    </cfRule>
    <cfRule type="cellIs" dxfId="2393" priority="1619" operator="equal">
      <formula>"Alta"</formula>
    </cfRule>
    <cfRule type="cellIs" dxfId="2392" priority="1618" operator="equal">
      <formula>"Muy Alta"</formula>
    </cfRule>
  </conditionalFormatting>
  <conditionalFormatting sqref="AL852">
    <cfRule type="cellIs" dxfId="2381" priority="1595" operator="equal">
      <formula>"Baja"</formula>
    </cfRule>
    <cfRule type="cellIs" dxfId="2379" priority="1594" operator="equal">
      <formula>"Media"</formula>
    </cfRule>
    <cfRule type="cellIs" dxfId="2378" priority="1593" operator="equal">
      <formula>"Alta"</formula>
    </cfRule>
    <cfRule type="cellIs" dxfId="2373" priority="1592" operator="equal">
      <formula>"Muy Alta"</formula>
    </cfRule>
    <cfRule type="cellIs" dxfId="2368" priority="1596" operator="equal">
      <formula>"Muy Baja"</formula>
    </cfRule>
  </conditionalFormatting>
  <conditionalFormatting sqref="AL862">
    <cfRule type="cellIs" dxfId="2364" priority="1570" operator="equal">
      <formula>"Muy Baja"</formula>
    </cfRule>
    <cfRule type="cellIs" dxfId="2363" priority="1569" operator="equal">
      <formula>"Baja"</formula>
    </cfRule>
    <cfRule type="cellIs" dxfId="2362" priority="1568" operator="equal">
      <formula>"Media"</formula>
    </cfRule>
    <cfRule type="cellIs" dxfId="2361" priority="1567" operator="equal">
      <formula>"Alta"</formula>
    </cfRule>
    <cfRule type="cellIs" dxfId="2360" priority="1566" operator="equal">
      <formula>"Muy Alta"</formula>
    </cfRule>
  </conditionalFormatting>
  <conditionalFormatting sqref="AL872">
    <cfRule type="cellIs" dxfId="2351" priority="1544" operator="equal">
      <formula>"Muy Baja"</formula>
    </cfRule>
    <cfRule type="cellIs" dxfId="2350" priority="1543" operator="equal">
      <formula>"Baja"</formula>
    </cfRule>
    <cfRule type="cellIs" dxfId="2338" priority="1540" operator="equal">
      <formula>"Muy Alta"</formula>
    </cfRule>
    <cfRule type="cellIs" dxfId="2337" priority="1541" operator="equal">
      <formula>"Alta"</formula>
    </cfRule>
    <cfRule type="cellIs" dxfId="2336" priority="1542" operator="equal">
      <formula>"Media"</formula>
    </cfRule>
  </conditionalFormatting>
  <conditionalFormatting sqref="AL882">
    <cfRule type="cellIs" dxfId="2325" priority="1084" operator="equal">
      <formula>"Muy Alta"</formula>
    </cfRule>
    <cfRule type="cellIs" dxfId="2324" priority="1085" operator="equal">
      <formula>"Alta"</formula>
    </cfRule>
    <cfRule type="cellIs" dxfId="2323" priority="1086" operator="equal">
      <formula>"Media"</formula>
    </cfRule>
    <cfRule type="cellIs" dxfId="2322" priority="1087" operator="equal">
      <formula>"Baja"</formula>
    </cfRule>
    <cfRule type="cellIs" dxfId="2321" priority="1088" operator="equal">
      <formula>"Muy Baja"</formula>
    </cfRule>
  </conditionalFormatting>
  <conditionalFormatting sqref="AL892">
    <cfRule type="cellIs" dxfId="2315" priority="1062" operator="equal">
      <formula>"Muy Baja"</formula>
    </cfRule>
    <cfRule type="cellIs" dxfId="2314" priority="1061" operator="equal">
      <formula>"Baja"</formula>
    </cfRule>
    <cfRule type="cellIs" dxfId="2313" priority="1060" operator="equal">
      <formula>"Media"</formula>
    </cfRule>
    <cfRule type="cellIs" dxfId="2312" priority="1059" operator="equal">
      <formula>"Alta"</formula>
    </cfRule>
    <cfRule type="cellIs" dxfId="2311" priority="1058" operator="equal">
      <formula>"Muy Alta"</formula>
    </cfRule>
  </conditionalFormatting>
  <conditionalFormatting sqref="AL902">
    <cfRule type="cellIs" dxfId="2300" priority="1032" operator="equal">
      <formula>"Muy Alta"</formula>
    </cfRule>
    <cfRule type="cellIs" dxfId="2299" priority="1033" operator="equal">
      <formula>"Alta"</formula>
    </cfRule>
    <cfRule type="cellIs" dxfId="2298" priority="1034" operator="equal">
      <formula>"Media"</formula>
    </cfRule>
    <cfRule type="cellIs" dxfId="2297" priority="1036" operator="equal">
      <formula>"Muy Baja"</formula>
    </cfRule>
    <cfRule type="cellIs" dxfId="2296" priority="1035" operator="equal">
      <formula>"Baja"</formula>
    </cfRule>
  </conditionalFormatting>
  <conditionalFormatting sqref="AL912">
    <cfRule type="cellIs" dxfId="2287" priority="1008" operator="equal">
      <formula>"Media"</formula>
    </cfRule>
    <cfRule type="cellIs" dxfId="2282" priority="1009" operator="equal">
      <formula>"Baja"</formula>
    </cfRule>
    <cfRule type="cellIs" dxfId="2281" priority="1010" operator="equal">
      <formula>"Muy Baja"</formula>
    </cfRule>
    <cfRule type="cellIs" dxfId="2277" priority="1006" operator="equal">
      <formula>"Muy Alta"</formula>
    </cfRule>
    <cfRule type="cellIs" dxfId="2276" priority="1007" operator="equal">
      <formula>"Alta"</formula>
    </cfRule>
  </conditionalFormatting>
  <conditionalFormatting sqref="AL922">
    <cfRule type="cellIs" dxfId="2270" priority="982" operator="equal">
      <formula>"Media"</formula>
    </cfRule>
    <cfRule type="cellIs" dxfId="2269" priority="984" operator="equal">
      <formula>"Muy Baja"</formula>
    </cfRule>
    <cfRule type="cellIs" dxfId="2268" priority="983" operator="equal">
      <formula>"Baja"</formula>
    </cfRule>
    <cfRule type="cellIs" dxfId="2264" priority="980" operator="equal">
      <formula>"Muy Alta"</formula>
    </cfRule>
    <cfRule type="cellIs" dxfId="2263" priority="981" operator="equal">
      <formula>"Alta"</formula>
    </cfRule>
  </conditionalFormatting>
  <conditionalFormatting sqref="AL932">
    <cfRule type="cellIs" dxfId="2253" priority="958" operator="equal">
      <formula>"Muy Baja"</formula>
    </cfRule>
    <cfRule type="cellIs" dxfId="2252" priority="957" operator="equal">
      <formula>"Baja"</formula>
    </cfRule>
    <cfRule type="cellIs" dxfId="2251" priority="956" operator="equal">
      <formula>"Media"</formula>
    </cfRule>
    <cfRule type="cellIs" dxfId="2250" priority="955" operator="equal">
      <formula>"Alta"</formula>
    </cfRule>
    <cfRule type="cellIs" dxfId="2249" priority="954" operator="equal">
      <formula>"Muy Alta"</formula>
    </cfRule>
  </conditionalFormatting>
  <conditionalFormatting sqref="AL942">
    <cfRule type="cellIs" dxfId="2230" priority="850" operator="equal">
      <formula>"Muy Baja"</formula>
    </cfRule>
    <cfRule type="cellIs" dxfId="2229" priority="849" operator="equal">
      <formula>"Baja"</formula>
    </cfRule>
    <cfRule type="cellIs" dxfId="2228" priority="848" operator="equal">
      <formula>"Media"</formula>
    </cfRule>
    <cfRule type="cellIs" dxfId="2227" priority="847" operator="equal">
      <formula>"Alta"</formula>
    </cfRule>
    <cfRule type="cellIs" dxfId="2226" priority="846" operator="equal">
      <formula>"Muy Alta"</formula>
    </cfRule>
  </conditionalFormatting>
  <conditionalFormatting sqref="AL952">
    <cfRule type="cellIs" dxfId="2219" priority="766" operator="equal">
      <formula>"Muy Alta"</formula>
    </cfRule>
    <cfRule type="cellIs" dxfId="2218" priority="767" operator="equal">
      <formula>"Alta"</formula>
    </cfRule>
    <cfRule type="cellIs" dxfId="2217" priority="768" operator="equal">
      <formula>"Media"</formula>
    </cfRule>
    <cfRule type="cellIs" dxfId="2216" priority="769" operator="equal">
      <formula>"Baja"</formula>
    </cfRule>
    <cfRule type="cellIs" dxfId="2214" priority="770" operator="equal">
      <formula>"Muy Baja"</formula>
    </cfRule>
  </conditionalFormatting>
  <conditionalFormatting sqref="AL962">
    <cfRule type="cellIs" dxfId="2207" priority="615" operator="equal">
      <formula>"Baja"</formula>
    </cfRule>
    <cfRule type="cellIs" dxfId="2205" priority="616" operator="equal">
      <formula>"Muy Baja"</formula>
    </cfRule>
    <cfRule type="cellIs" dxfId="2204" priority="614" operator="equal">
      <formula>"Media"</formula>
    </cfRule>
    <cfRule type="cellIs" dxfId="2203" priority="613" operator="equal">
      <formula>"Alta"</formula>
    </cfRule>
    <cfRule type="cellIs" dxfId="2202" priority="612" operator="equal">
      <formula>"Muy Alta"</formula>
    </cfRule>
  </conditionalFormatting>
  <conditionalFormatting sqref="AL972">
    <cfRule type="cellIs" dxfId="2182" priority="376" operator="equal">
      <formula>"Muy Baja"</formula>
    </cfRule>
    <cfRule type="cellIs" dxfId="2181" priority="375" operator="equal">
      <formula>"Baja"</formula>
    </cfRule>
    <cfRule type="cellIs" dxfId="2180" priority="374" operator="equal">
      <formula>"Media"</formula>
    </cfRule>
    <cfRule type="cellIs" dxfId="2179" priority="373" operator="equal">
      <formula>"Alta"</formula>
    </cfRule>
    <cfRule type="cellIs" dxfId="2178" priority="372" operator="equal">
      <formula>"Muy Alta"</formula>
    </cfRule>
  </conditionalFormatting>
  <conditionalFormatting sqref="AL982">
    <cfRule type="cellIs" dxfId="2164" priority="346" operator="equal">
      <formula>"Muy Alta"</formula>
    </cfRule>
    <cfRule type="cellIs" dxfId="2163" priority="347" operator="equal">
      <formula>"Alta"</formula>
    </cfRule>
    <cfRule type="cellIs" dxfId="2162" priority="348" operator="equal">
      <formula>"Media"</formula>
    </cfRule>
    <cfRule type="cellIs" dxfId="2161" priority="349" operator="equal">
      <formula>"Baja"</formula>
    </cfRule>
    <cfRule type="cellIs" dxfId="2160" priority="350" operator="equal">
      <formula>"Muy Baja"</formula>
    </cfRule>
  </conditionalFormatting>
  <conditionalFormatting sqref="AL992">
    <cfRule type="cellIs" dxfId="2159" priority="321" operator="equal">
      <formula>"Alta"</formula>
    </cfRule>
    <cfRule type="cellIs" dxfId="2158" priority="320" operator="equal">
      <formula>"Muy Alta"</formula>
    </cfRule>
    <cfRule type="cellIs" dxfId="2146" priority="324" operator="equal">
      <formula>"Muy Baja"</formula>
    </cfRule>
    <cfRule type="cellIs" dxfId="2145" priority="323" operator="equal">
      <formula>"Baja"</formula>
    </cfRule>
    <cfRule type="cellIs" dxfId="2144" priority="322" operator="equal">
      <formula>"Media"</formula>
    </cfRule>
  </conditionalFormatting>
  <conditionalFormatting sqref="AL1002">
    <cfRule type="cellIs" dxfId="2140" priority="144" operator="equal">
      <formula>"Muy Baja"</formula>
    </cfRule>
    <cfRule type="cellIs" dxfId="2139" priority="143" operator="equal">
      <formula>"Baja"</formula>
    </cfRule>
    <cfRule type="cellIs" dxfId="2137" priority="142" operator="equal">
      <formula>"Media"</formula>
    </cfRule>
    <cfRule type="cellIs" dxfId="2136" priority="141" operator="equal">
      <formula>"Alta"</formula>
    </cfRule>
    <cfRule type="cellIs" dxfId="2135" priority="140" operator="equal">
      <formula>"Muy Alta"</formula>
    </cfRule>
  </conditionalFormatting>
  <conditionalFormatting sqref="AL1012">
    <cfRule type="cellIs" dxfId="2124" priority="115" operator="equal">
      <formula>"Alta"</formula>
    </cfRule>
    <cfRule type="cellIs" dxfId="2122" priority="118" operator="equal">
      <formula>"Muy Baja"</formula>
    </cfRule>
    <cfRule type="cellIs" dxfId="2121" priority="117" operator="equal">
      <formula>"Baja"</formula>
    </cfRule>
    <cfRule type="cellIs" dxfId="2120" priority="116" operator="equal">
      <formula>"Media"</formula>
    </cfRule>
    <cfRule type="cellIs" dxfId="2118" priority="114" operator="equal">
      <formula>"Muy Alta"</formula>
    </cfRule>
  </conditionalFormatting>
  <conditionalFormatting sqref="AL12:AN12 AL32:AN32 AL72:AN72 AL122:AN122 AL152:AN152 AL182:AN182 AL212:AN212 AL322:AN322 AL362:AN362 AL402:AN402 AL422:AN422 AL532:AN532 AL622:AN622 AL942:AN942">
    <cfRule type="containsText" dxfId="2097" priority="10863" operator="containsText" text="Menor">
      <formula>NOT(ISERROR(SEARCH("Menor",AL12)))</formula>
    </cfRule>
    <cfRule type="containsText" dxfId="2096" priority="10864" operator="containsText" text="Moderado">
      <formula>NOT(ISERROR(SEARCH("Moderado",AL12)))</formula>
    </cfRule>
    <cfRule type="containsText" dxfId="2095" priority="10865" operator="containsText" text="Mayor">
      <formula>NOT(ISERROR(SEARCH("Mayor",AL12)))</formula>
    </cfRule>
    <cfRule type="containsText" dxfId="2094" priority="10866" operator="containsText" text="Catastrófico">
      <formula>NOT(ISERROR(SEARCH("Catastrófico",AL12)))</formula>
    </cfRule>
    <cfRule type="containsText" dxfId="2093" priority="10862" operator="containsText" text="Leve">
      <formula>NOT(ISERROR(SEARCH("Leve",AL12)))</formula>
    </cfRule>
    <cfRule type="cellIs" dxfId="2092" priority="10859" operator="equal">
      <formula>$BG$17</formula>
    </cfRule>
    <cfRule type="cellIs" dxfId="2091" priority="10860" operator="equal">
      <formula>$BC$17</formula>
    </cfRule>
    <cfRule type="cellIs" dxfId="2090" priority="10861" operator="equal">
      <formula>$BC$20</formula>
    </cfRule>
  </conditionalFormatting>
  <conditionalFormatting 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cfRule type="cellIs" dxfId="2089" priority="10870" operator="equal">
      <formula>$BC$20</formula>
    </cfRule>
    <cfRule type="cellIs" dxfId="2088" priority="10869" operator="equal">
      <formula>$BC$17</formula>
    </cfRule>
    <cfRule type="containsText" dxfId="2087" priority="10871" operator="containsText" text="Leve">
      <formula>NOT(ISERROR(SEARCH("Leve",AL22)))</formula>
    </cfRule>
    <cfRule type="containsText" dxfId="2086" priority="10872" operator="containsText" text="Menor">
      <formula>NOT(ISERROR(SEARCH("Menor",AL22)))</formula>
    </cfRule>
    <cfRule type="containsText" dxfId="2085" priority="10873" operator="containsText" text="Moderado">
      <formula>NOT(ISERROR(SEARCH("Moderado",AL22)))</formula>
    </cfRule>
    <cfRule type="containsText" dxfId="2084" priority="10874" operator="containsText" text="Mayor">
      <formula>NOT(ISERROR(SEARCH("Mayor",AL22)))</formula>
    </cfRule>
    <cfRule type="containsText" dxfId="2083" priority="10875" operator="containsText" text="Catastrófico">
      <formula>NOT(ISERROR(SEARCH("Catastrófico",AL22)))</formula>
    </cfRule>
    <cfRule type="cellIs" dxfId="2082" priority="10868" operator="equal">
      <formula>$BG$17</formula>
    </cfRule>
  </conditionalFormatting>
  <conditionalFormatting sqref="AL442:AN442 AL452:AN452 AL462:AN462 AL472:AN472 AL482:AN482 AL492:AN492">
    <cfRule type="containsText" dxfId="2080" priority="11281" operator="containsText" text="Menor">
      <formula>NOT(ISERROR(SEARCH("Menor",AL442)))</formula>
    </cfRule>
    <cfRule type="containsText" dxfId="2079" priority="11283" operator="containsText" text="Mayor">
      <formula>NOT(ISERROR(SEARCH("Mayor",AL442)))</formula>
    </cfRule>
    <cfRule type="containsText" dxfId="2078" priority="11284" operator="containsText" text="Catastrófico">
      <formula>NOT(ISERROR(SEARCH("Catastrófico",AL442)))</formula>
    </cfRule>
    <cfRule type="containsText" dxfId="2077" priority="11282" operator="containsText" text="Moderado">
      <formula>NOT(ISERROR(SEARCH("Moderado",AL442)))</formula>
    </cfRule>
    <cfRule type="cellIs" dxfId="2075" priority="11279" operator="equal">
      <formula>$BC$20</formula>
    </cfRule>
    <cfRule type="containsText" dxfId="2074" priority="11280" operator="containsText" text="Leve">
      <formula>NOT(ISERROR(SEARCH("Leve",AL442)))</formula>
    </cfRule>
  </conditionalFormatting>
  <conditionalFormatting sqref="AL442:AN442 AL462:AN462 AL472:AN472 AL482:AN482 AL492:AN492 AL452:AN452">
    <cfRule type="cellIs" dxfId="2073" priority="11278" operator="equal">
      <formula>$BC$17</formula>
    </cfRule>
  </conditionalFormatting>
  <conditionalFormatting sqref="AL452:AN452">
    <cfRule type="cellIs" dxfId="2072" priority="5435" operator="equal">
      <formula>$BG$17</formula>
    </cfRule>
  </conditionalFormatting>
  <conditionalFormatting sqref="AM12">
    <cfRule type="cellIs" dxfId="2071" priority="10028" operator="equal">
      <formula>"Media"</formula>
    </cfRule>
    <cfRule type="cellIs" dxfId="2070" priority="10030" operator="equal">
      <formula>"Muy Baja"</formula>
    </cfRule>
    <cfRule type="cellIs" dxfId="2069" priority="10029" operator="equal">
      <formula>"Baja"</formula>
    </cfRule>
    <cfRule type="cellIs" dxfId="2068" priority="10027" operator="equal">
      <formula>"Alta"</formula>
    </cfRule>
    <cfRule type="cellIs" dxfId="2067" priority="10026" operator="equal">
      <formula>"Muy Alta"</formula>
    </cfRule>
  </conditionalFormatting>
  <conditionalFormatting sqref="AM32">
    <cfRule type="cellIs" dxfId="2053" priority="9627" operator="equal">
      <formula>"Alta"</formula>
    </cfRule>
    <cfRule type="cellIs" dxfId="2051" priority="9630" operator="equal">
      <formula>"Muy Baja"</formula>
    </cfRule>
    <cfRule type="cellIs" dxfId="2050" priority="9629" operator="equal">
      <formula>"Baja"</formula>
    </cfRule>
    <cfRule type="cellIs" dxfId="2049" priority="9628" operator="equal">
      <formula>"Media"</formula>
    </cfRule>
    <cfRule type="cellIs" dxfId="2048" priority="9626" operator="equal">
      <formula>"Muy Alta"</formula>
    </cfRule>
  </conditionalFormatting>
  <conditionalFormatting sqref="AM72">
    <cfRule type="cellIs" dxfId="2039" priority="9138" operator="equal">
      <formula>"Muy Alta"</formula>
    </cfRule>
    <cfRule type="cellIs" dxfId="2038" priority="9139" operator="equal">
      <formula>"Alta"</formula>
    </cfRule>
    <cfRule type="cellIs" dxfId="2037" priority="9140" operator="equal">
      <formula>"Media"</formula>
    </cfRule>
    <cfRule type="cellIs" dxfId="2036" priority="9141" operator="equal">
      <formula>"Baja"</formula>
    </cfRule>
    <cfRule type="cellIs" dxfId="2035" priority="9142" operator="equal">
      <formula>"Muy Baja"</formula>
    </cfRule>
  </conditionalFormatting>
  <conditionalFormatting sqref="AM122">
    <cfRule type="cellIs" dxfId="2023" priority="8829" operator="equal">
      <formula>"Baja"</formula>
    </cfRule>
    <cfRule type="cellIs" dxfId="2022" priority="8828" operator="equal">
      <formula>"Media"</formula>
    </cfRule>
    <cfRule type="cellIs" dxfId="2021" priority="8827" operator="equal">
      <formula>"Alta"</formula>
    </cfRule>
    <cfRule type="cellIs" dxfId="2020" priority="8826" operator="equal">
      <formula>"Muy Alta"</formula>
    </cfRule>
    <cfRule type="cellIs" dxfId="2017" priority="8830" operator="equal">
      <formula>"Muy Baja"</formula>
    </cfRule>
  </conditionalFormatting>
  <conditionalFormatting sqref="AM152">
    <cfRule type="cellIs" dxfId="2009" priority="8522" operator="equal">
      <formula>"Muy Baja"</formula>
    </cfRule>
    <cfRule type="cellIs" dxfId="2005" priority="8521" operator="equal">
      <formula>"Baja"</formula>
    </cfRule>
    <cfRule type="cellIs" dxfId="2003" priority="8520" operator="equal">
      <formula>"Media"</formula>
    </cfRule>
    <cfRule type="cellIs" dxfId="2002" priority="8519" operator="equal">
      <formula>"Alta"</formula>
    </cfRule>
    <cfRule type="cellIs" dxfId="1998" priority="8518" operator="equal">
      <formula>"Muy Alta"</formula>
    </cfRule>
  </conditionalFormatting>
  <conditionalFormatting sqref="AM182">
    <cfRule type="cellIs" dxfId="1996" priority="8211" operator="equal">
      <formula>"Alta"</formula>
    </cfRule>
    <cfRule type="cellIs" dxfId="1995" priority="8213" operator="equal">
      <formula>"Baja"</formula>
    </cfRule>
    <cfRule type="cellIs" dxfId="1994" priority="8210" operator="equal">
      <formula>"Muy Alta"</formula>
    </cfRule>
    <cfRule type="cellIs" dxfId="1992" priority="8214" operator="equal">
      <formula>"Muy Baja"</formula>
    </cfRule>
    <cfRule type="cellIs" dxfId="1982" priority="8212" operator="equal">
      <formula>"Media"</formula>
    </cfRule>
  </conditionalFormatting>
  <conditionalFormatting sqref="AM212">
    <cfRule type="cellIs" dxfId="1981" priority="7276" operator="equal">
      <formula>"Muy Baja"</formula>
    </cfRule>
    <cfRule type="cellIs" dxfId="1980" priority="7275" operator="equal">
      <formula>"Baja"</formula>
    </cfRule>
    <cfRule type="cellIs" dxfId="1979" priority="7274" operator="equal">
      <formula>"Media"</formula>
    </cfRule>
    <cfRule type="cellIs" dxfId="1978" priority="7273" operator="equal">
      <formula>"Alta"</formula>
    </cfRule>
    <cfRule type="cellIs" dxfId="1975" priority="7272" operator="equal">
      <formula>"Muy Alta"</formula>
    </cfRule>
  </conditionalFormatting>
  <conditionalFormatting sqref="AM322">
    <cfRule type="cellIs" dxfId="1962" priority="6738" operator="equal">
      <formula>"Muy Alta"</formula>
    </cfRule>
    <cfRule type="cellIs" dxfId="1959" priority="6740" operator="equal">
      <formula>"Media"</formula>
    </cfRule>
    <cfRule type="cellIs" dxfId="1958" priority="6741" operator="equal">
      <formula>"Baja"</formula>
    </cfRule>
    <cfRule type="cellIs" dxfId="1955" priority="6739" operator="equal">
      <formula>"Alta"</formula>
    </cfRule>
    <cfRule type="cellIs" dxfId="1953" priority="6742" operator="equal">
      <formula>"Muy Baja"</formula>
    </cfRule>
  </conditionalFormatting>
  <conditionalFormatting sqref="AM362">
    <cfRule type="cellIs" dxfId="1945" priority="6340" operator="equal">
      <formula>"Muy Alta"</formula>
    </cfRule>
    <cfRule type="cellIs" dxfId="1944" priority="6341" operator="equal">
      <formula>"Alta"</formula>
    </cfRule>
    <cfRule type="cellIs" dxfId="1943" priority="6342" operator="equal">
      <formula>"Media"</formula>
    </cfRule>
    <cfRule type="cellIs" dxfId="1942" priority="6343" operator="equal">
      <formula>"Baja"</formula>
    </cfRule>
    <cfRule type="cellIs" dxfId="1941" priority="6344" operator="equal">
      <formula>"Muy Baja"</formula>
    </cfRule>
  </conditionalFormatting>
  <conditionalFormatting sqref="AM402">
    <cfRule type="cellIs" dxfId="1936" priority="6126" operator="equal">
      <formula>"Muy Baja"</formula>
    </cfRule>
    <cfRule type="cellIs" dxfId="1935" priority="6125" operator="equal">
      <formula>"Baja"</formula>
    </cfRule>
    <cfRule type="cellIs" dxfId="1934" priority="6124" operator="equal">
      <formula>"Media"</formula>
    </cfRule>
    <cfRule type="cellIs" dxfId="1933" priority="6123" operator="equal">
      <formula>"Alta"</formula>
    </cfRule>
    <cfRule type="cellIs" dxfId="1932" priority="6122" operator="equal">
      <formula>"Muy Alta"</formula>
    </cfRule>
  </conditionalFormatting>
  <conditionalFormatting sqref="AM422">
    <cfRule type="cellIs" dxfId="1918" priority="5907" operator="equal">
      <formula>"Baja"</formula>
    </cfRule>
    <cfRule type="cellIs" dxfId="1917" priority="5906" operator="equal">
      <formula>"Media"</formula>
    </cfRule>
    <cfRule type="cellIs" dxfId="1910" priority="5904" operator="equal">
      <formula>"Muy Alta"</formula>
    </cfRule>
    <cfRule type="cellIs" dxfId="1908" priority="5905" operator="equal">
      <formula>"Alta"</formula>
    </cfRule>
    <cfRule type="cellIs" dxfId="1907" priority="5908" operator="equal">
      <formula>"Muy Baja"</formula>
    </cfRule>
  </conditionalFormatting>
  <conditionalFormatting sqref="AM532">
    <cfRule type="cellIs" dxfId="1901" priority="4874" operator="equal">
      <formula>"Muy Baja"</formula>
    </cfRule>
    <cfRule type="cellIs" dxfId="1895" priority="4873" operator="equal">
      <formula>"Baja"</formula>
    </cfRule>
    <cfRule type="cellIs" dxfId="1894" priority="4872" operator="equal">
      <formula>"Media"</formula>
    </cfRule>
    <cfRule type="cellIs" dxfId="1893" priority="4871" operator="equal">
      <formula>"Alta"</formula>
    </cfRule>
    <cfRule type="cellIs" dxfId="1892" priority="4870" operator="equal">
      <formula>"Muy Alta"</formula>
    </cfRule>
  </conditionalFormatting>
  <conditionalFormatting sqref="AM622">
    <cfRule type="cellIs" dxfId="1887" priority="3754" operator="equal">
      <formula>"Muy Baja"</formula>
    </cfRule>
    <cfRule type="cellIs" dxfId="1885" priority="3753" operator="equal">
      <formula>"Baja"</formula>
    </cfRule>
    <cfRule type="cellIs" dxfId="1880" priority="3750" operator="equal">
      <formula>"Muy Alta"</formula>
    </cfRule>
    <cfRule type="cellIs" dxfId="1879" priority="3751" operator="equal">
      <formula>"Alta"</formula>
    </cfRule>
    <cfRule type="cellIs" dxfId="1878" priority="3752" operator="equal">
      <formula>"Media"</formula>
    </cfRule>
  </conditionalFormatting>
  <conditionalFormatting sqref="AM942">
    <cfRule type="cellIs" dxfId="1872" priority="743" operator="equal">
      <formula>"Baja"</formula>
    </cfRule>
    <cfRule type="cellIs" dxfId="1871" priority="742" operator="equal">
      <formula>"Media"</formula>
    </cfRule>
    <cfRule type="cellIs" dxfId="1870" priority="741" operator="equal">
      <formula>"Alta"</formula>
    </cfRule>
    <cfRule type="cellIs" dxfId="1868" priority="740" operator="equal">
      <formula>"Muy Alta"</formula>
    </cfRule>
    <cfRule type="cellIs" dxfId="1862" priority="744" operator="equal">
      <formula>"Muy Baja"</formula>
    </cfRule>
  </conditionalFormatting>
  <conditionalFormatting sqref="AM22:AN22">
    <cfRule type="cellIs" dxfId="1858" priority="10120" operator="equal">
      <formula>"Muy Baja"</formula>
    </cfRule>
    <cfRule type="cellIs" dxfId="1857" priority="10119" operator="equal">
      <formula>"Baja"</formula>
    </cfRule>
    <cfRule type="cellIs" dxfId="1856" priority="10118" operator="equal">
      <formula>"Media"</formula>
    </cfRule>
    <cfRule type="cellIs" dxfId="1855" priority="10117" operator="equal">
      <formula>"Alta"</formula>
    </cfRule>
    <cfRule type="cellIs" dxfId="1854" priority="10116" operator="equal">
      <formula>"Muy Alta"</formula>
    </cfRule>
  </conditionalFormatting>
  <conditionalFormatting sqref="AM42:AN42">
    <cfRule type="cellIs" dxfId="1833" priority="9897" operator="equal">
      <formula>"Alta"</formula>
    </cfRule>
    <cfRule type="cellIs" dxfId="1832" priority="9898" operator="equal">
      <formula>"Media"</formula>
    </cfRule>
    <cfRule type="cellIs" dxfId="1831" priority="9899" operator="equal">
      <formula>"Baja"</formula>
    </cfRule>
    <cfRule type="cellIs" dxfId="1830" priority="9900" operator="equal">
      <formula>"Muy Baja"</formula>
    </cfRule>
    <cfRule type="cellIs" dxfId="1828" priority="9896" operator="equal">
      <formula>"Muy Alta"</formula>
    </cfRule>
  </conditionalFormatting>
  <conditionalFormatting sqref="AM52:AN52">
    <cfRule type="cellIs" dxfId="1826" priority="9883" operator="equal">
      <formula>"Baja"</formula>
    </cfRule>
    <cfRule type="cellIs" dxfId="1825" priority="9880" operator="equal">
      <formula>"Muy Alta"</formula>
    </cfRule>
    <cfRule type="cellIs" dxfId="1824" priority="9884" operator="equal">
      <formula>"Muy Baja"</formula>
    </cfRule>
    <cfRule type="cellIs" dxfId="1814" priority="9881" operator="equal">
      <formula>"Alta"</formula>
    </cfRule>
    <cfRule type="cellIs" dxfId="1812" priority="9882" operator="equal">
      <formula>"Media"</formula>
    </cfRule>
  </conditionalFormatting>
  <conditionalFormatting sqref="AM62:AN62">
    <cfRule type="cellIs" dxfId="1811" priority="9864" operator="equal">
      <formula>"Muy Alta"</formula>
    </cfRule>
    <cfRule type="cellIs" dxfId="1810" priority="9865" operator="equal">
      <formula>"Alta"</formula>
    </cfRule>
    <cfRule type="cellIs" dxfId="1809" priority="9866" operator="equal">
      <formula>"Media"</formula>
    </cfRule>
    <cfRule type="cellIs" dxfId="1808" priority="9867" operator="equal">
      <formula>"Baja"</formula>
    </cfRule>
    <cfRule type="cellIs" dxfId="1807" priority="9868" operator="equal">
      <formula>"Muy Baja"</formula>
    </cfRule>
  </conditionalFormatting>
  <conditionalFormatting sqref="AM82:AN82">
    <cfRule type="cellIs" dxfId="1788" priority="9502" operator="equal">
      <formula>"Muy Baja"</formula>
    </cfRule>
    <cfRule type="cellIs" dxfId="1785" priority="9498" operator="equal">
      <formula>"Muy Alta"</formula>
    </cfRule>
    <cfRule type="cellIs" dxfId="1782" priority="9501" operator="equal">
      <formula>"Baja"</formula>
    </cfRule>
    <cfRule type="cellIs" dxfId="1780" priority="9500" operator="equal">
      <formula>"Media"</formula>
    </cfRule>
    <cfRule type="cellIs" dxfId="1779" priority="9499" operator="equal">
      <formula>"Alta"</formula>
    </cfRule>
  </conditionalFormatting>
  <conditionalFormatting sqref="AM92:AN92">
    <cfRule type="cellIs" dxfId="1778" priority="9485" operator="equal">
      <formula>"Baja"</formula>
    </cfRule>
    <cfRule type="cellIs" dxfId="1777" priority="9486" operator="equal">
      <formula>"Muy Baja"</formula>
    </cfRule>
    <cfRule type="cellIs" dxfId="1776" priority="9482" operator="equal">
      <formula>"Muy Alta"</formula>
    </cfRule>
    <cfRule type="cellIs" dxfId="1770" priority="9483" operator="equal">
      <formula>"Alta"</formula>
    </cfRule>
    <cfRule type="cellIs" dxfId="1766" priority="9484" operator="equal">
      <formula>"Media"</formula>
    </cfRule>
  </conditionalFormatting>
  <conditionalFormatting sqref="AM102:AN102">
    <cfRule type="cellIs" dxfId="1755" priority="9466" operator="equal">
      <formula>"Muy Alta"</formula>
    </cfRule>
    <cfRule type="cellIs" dxfId="1754" priority="9467" operator="equal">
      <formula>"Alta"</formula>
    </cfRule>
    <cfRule type="cellIs" dxfId="1753" priority="9468" operator="equal">
      <formula>"Media"</formula>
    </cfRule>
    <cfRule type="cellIs" dxfId="1752" priority="9469" operator="equal">
      <formula>"Baja"</formula>
    </cfRule>
    <cfRule type="cellIs" dxfId="1751" priority="9470" operator="equal">
      <formula>"Muy Baja"</formula>
    </cfRule>
  </conditionalFormatting>
  <conditionalFormatting sqref="AM112:AN112">
    <cfRule type="cellIs" dxfId="1746" priority="9452" operator="equal">
      <formula>"Media"</formula>
    </cfRule>
    <cfRule type="cellIs" dxfId="1745" priority="9454" operator="equal">
      <formula>"Muy Baja"</formula>
    </cfRule>
    <cfRule type="cellIs" dxfId="1742" priority="9453" operator="equal">
      <formula>"Baja"</formula>
    </cfRule>
    <cfRule type="cellIs" dxfId="1741" priority="9451" operator="equal">
      <formula>"Alta"</formula>
    </cfRule>
    <cfRule type="cellIs" dxfId="1737" priority="9450" operator="equal">
      <formula>"Muy Alta"</formula>
    </cfRule>
  </conditionalFormatting>
  <conditionalFormatting sqref="AM132:AN132">
    <cfRule type="cellIs" dxfId="1728" priority="9006" operator="equal">
      <formula>"Muy Alta"</formula>
    </cfRule>
    <cfRule type="cellIs" dxfId="1727" priority="9010" operator="equal">
      <formula>"Muy Baja"</formula>
    </cfRule>
    <cfRule type="cellIs" dxfId="1720" priority="9007" operator="equal">
      <formula>"Alta"</formula>
    </cfRule>
    <cfRule type="cellIs" dxfId="1717" priority="9008" operator="equal">
      <formula>"Media"</formula>
    </cfRule>
    <cfRule type="cellIs" dxfId="1716" priority="9009" operator="equal">
      <formula>"Baja"</formula>
    </cfRule>
  </conditionalFormatting>
  <conditionalFormatting sqref="AM142:AN142">
    <cfRule type="cellIs" dxfId="1708" priority="8993" operator="equal">
      <formula>"Baja"</formula>
    </cfRule>
    <cfRule type="cellIs" dxfId="1707" priority="8994" operator="equal">
      <formula>"Muy Baja"</formula>
    </cfRule>
    <cfRule type="cellIs" dxfId="1706" priority="8990" operator="equal">
      <formula>"Muy Alta"</formula>
    </cfRule>
    <cfRule type="cellIs" dxfId="1705" priority="8992" operator="equal">
      <formula>"Media"</formula>
    </cfRule>
    <cfRule type="cellIs" dxfId="1698" priority="8991" operator="equal">
      <formula>"Alta"</formula>
    </cfRule>
  </conditionalFormatting>
  <conditionalFormatting sqref="AM162:AN162">
    <cfRule type="cellIs" dxfId="1696" priority="8701" operator="equal">
      <formula>"Baja"</formula>
    </cfRule>
    <cfRule type="cellIs" dxfId="1695" priority="8700" operator="equal">
      <formula>"Media"</formula>
    </cfRule>
    <cfRule type="cellIs" dxfId="1694" priority="8699" operator="equal">
      <formula>"Alta"</formula>
    </cfRule>
    <cfRule type="cellIs" dxfId="1690" priority="8702" operator="equal">
      <formula>"Muy Baja"</formula>
    </cfRule>
    <cfRule type="cellIs" dxfId="1681" priority="8698" operator="equal">
      <formula>"Muy Alta"</formula>
    </cfRule>
  </conditionalFormatting>
  <conditionalFormatting sqref="AM172:AN172">
    <cfRule type="cellIs" dxfId="1680" priority="8682" operator="equal">
      <formula>"Muy Alta"</formula>
    </cfRule>
    <cfRule type="cellIs" dxfId="1677" priority="8685" operator="equal">
      <formula>"Baja"</formula>
    </cfRule>
    <cfRule type="cellIs" dxfId="1675" priority="8684" operator="equal">
      <formula>"Media"</formula>
    </cfRule>
    <cfRule type="cellIs" dxfId="1674" priority="8686" operator="equal">
      <formula>"Muy Baja"</formula>
    </cfRule>
    <cfRule type="cellIs" dxfId="1672" priority="8683" operator="equal">
      <formula>"Alta"</formula>
    </cfRule>
  </conditionalFormatting>
  <conditionalFormatting sqref="AM192:AN192">
    <cfRule type="cellIs" dxfId="1655" priority="8393" operator="equal">
      <formula>"Baja"</formula>
    </cfRule>
    <cfRule type="cellIs" dxfId="1654" priority="8394" operator="equal">
      <formula>"Muy Baja"</formula>
    </cfRule>
    <cfRule type="cellIs" dxfId="1653" priority="8391" operator="equal">
      <formula>"Alta"</formula>
    </cfRule>
    <cfRule type="cellIs" dxfId="1652" priority="8390" operator="equal">
      <formula>"Muy Alta"</formula>
    </cfRule>
    <cfRule type="cellIs" dxfId="1648" priority="8392" operator="equal">
      <formula>"Media"</formula>
    </cfRule>
  </conditionalFormatting>
  <conditionalFormatting sqref="AM202:AN202">
    <cfRule type="cellIs" dxfId="1641" priority="8377" operator="equal">
      <formula>"Baja"</formula>
    </cfRule>
    <cfRule type="cellIs" dxfId="1640" priority="8378" operator="equal">
      <formula>"Muy Baja"</formula>
    </cfRule>
    <cfRule type="cellIs" dxfId="1638" priority="8376" operator="equal">
      <formula>"Media"</formula>
    </cfRule>
    <cfRule type="cellIs" dxfId="1637" priority="8375" operator="equal">
      <formula>"Alta"</formula>
    </cfRule>
    <cfRule type="cellIs" dxfId="1636" priority="8374" operator="equal">
      <formula>"Muy Alta"</formula>
    </cfRule>
  </conditionalFormatting>
  <conditionalFormatting sqref="AM222:AN222">
    <cfRule type="cellIs" dxfId="1624" priority="8084" operator="equal">
      <formula>"Media"</formula>
    </cfRule>
    <cfRule type="cellIs" dxfId="1621" priority="8086" operator="equal">
      <formula>"Muy Baja"</formula>
    </cfRule>
    <cfRule type="cellIs" dxfId="1620" priority="8085" operator="equal">
      <formula>"Baja"</formula>
    </cfRule>
    <cfRule type="cellIs" dxfId="1618" priority="8083" operator="equal">
      <formula>"Alta"</formula>
    </cfRule>
    <cfRule type="cellIs" dxfId="1617" priority="8082" operator="equal">
      <formula>"Muy Alta"</formula>
    </cfRule>
  </conditionalFormatting>
  <conditionalFormatting sqref="AM232:AN232">
    <cfRule type="cellIs" dxfId="1614" priority="8066" operator="equal">
      <formula>"Muy Alta"</formula>
    </cfRule>
    <cfRule type="cellIs" dxfId="1613" priority="8067" operator="equal">
      <formula>"Alta"</formula>
    </cfRule>
    <cfRule type="cellIs" dxfId="1612" priority="8068" operator="equal">
      <formula>"Media"</formula>
    </cfRule>
    <cfRule type="cellIs" dxfId="1611" priority="8069" operator="equal">
      <formula>"Baja"</formula>
    </cfRule>
    <cfRule type="cellIs" dxfId="1610" priority="8070" operator="equal">
      <formula>"Muy Baja"</formula>
    </cfRule>
  </conditionalFormatting>
  <conditionalFormatting sqref="AM242:AN242">
    <cfRule type="cellIs" dxfId="1595" priority="8054" operator="equal">
      <formula>"Muy Baja"</formula>
    </cfRule>
    <cfRule type="cellIs" dxfId="1594" priority="8053" operator="equal">
      <formula>"Baja"</formula>
    </cfRule>
    <cfRule type="cellIs" dxfId="1593" priority="8052" operator="equal">
      <formula>"Media"</formula>
    </cfRule>
    <cfRule type="cellIs" dxfId="1591" priority="8051" operator="equal">
      <formula>"Alta"</formula>
    </cfRule>
    <cfRule type="cellIs" dxfId="1590" priority="8050" operator="equal">
      <formula>"Muy Alta"</formula>
    </cfRule>
  </conditionalFormatting>
  <conditionalFormatting sqref="AM252:AN252">
    <cfRule type="cellIs" dxfId="1577" priority="8034" operator="equal">
      <formula>"Muy Alta"</formula>
    </cfRule>
    <cfRule type="cellIs" dxfId="1576" priority="8035" operator="equal">
      <formula>"Alta"</formula>
    </cfRule>
    <cfRule type="cellIs" dxfId="1575" priority="8036" operator="equal">
      <formula>"Media"</formula>
    </cfRule>
    <cfRule type="cellIs" dxfId="1574" priority="8038" operator="equal">
      <formula>"Muy Baja"</formula>
    </cfRule>
    <cfRule type="cellIs" dxfId="1571" priority="8037" operator="equal">
      <formula>"Baja"</formula>
    </cfRule>
  </conditionalFormatting>
  <conditionalFormatting sqref="AM262:AN262">
    <cfRule type="cellIs" dxfId="1557" priority="8020" operator="equal">
      <formula>"Media"</formula>
    </cfRule>
    <cfRule type="cellIs" dxfId="1556" priority="8018" operator="equal">
      <formula>"Muy Alta"</formula>
    </cfRule>
    <cfRule type="cellIs" dxfId="1555" priority="8019" operator="equal">
      <formula>"Alta"</formula>
    </cfRule>
    <cfRule type="cellIs" dxfId="1554" priority="8021" operator="equal">
      <formula>"Baja"</formula>
    </cfRule>
    <cfRule type="cellIs" dxfId="1553" priority="8022" operator="equal">
      <formula>"Muy Baja"</formula>
    </cfRule>
  </conditionalFormatting>
  <conditionalFormatting sqref="AM272:AN272">
    <cfRule type="cellIs" dxfId="1550" priority="8003" operator="equal">
      <formula>"Alta"</formula>
    </cfRule>
    <cfRule type="cellIs" dxfId="1543" priority="8005" operator="equal">
      <formula>"Baja"</formula>
    </cfRule>
    <cfRule type="cellIs" dxfId="1542" priority="8006" operator="equal">
      <formula>"Muy Baja"</formula>
    </cfRule>
    <cfRule type="cellIs" dxfId="1539" priority="8004" operator="equal">
      <formula>"Media"</formula>
    </cfRule>
    <cfRule type="cellIs" dxfId="1535" priority="8002" operator="equal">
      <formula>"Muy Alta"</formula>
    </cfRule>
  </conditionalFormatting>
  <conditionalFormatting sqref="AM282:AN282">
    <cfRule type="cellIs" dxfId="1529" priority="7987" operator="equal">
      <formula>"Alta"</formula>
    </cfRule>
    <cfRule type="cellIs" dxfId="1528" priority="7988" operator="equal">
      <formula>"Media"</formula>
    </cfRule>
    <cfRule type="cellIs" dxfId="1527" priority="7989" operator="equal">
      <formula>"Baja"</formula>
    </cfRule>
    <cfRule type="cellIs" dxfId="1526" priority="7990" operator="equal">
      <formula>"Muy Baja"</formula>
    </cfRule>
    <cfRule type="cellIs" dxfId="1524" priority="7986" operator="equal">
      <formula>"Muy Alta"</formula>
    </cfRule>
  </conditionalFormatting>
  <conditionalFormatting sqref="AM292:AN292">
    <cfRule type="cellIs" dxfId="1514" priority="7974" operator="equal">
      <formula>"Muy Baja"</formula>
    </cfRule>
    <cfRule type="cellIs" dxfId="1513" priority="7973" operator="equal">
      <formula>"Baja"</formula>
    </cfRule>
    <cfRule type="cellIs" dxfId="1512" priority="7972" operator="equal">
      <formula>"Media"</formula>
    </cfRule>
    <cfRule type="cellIs" dxfId="1511" priority="7971" operator="equal">
      <formula>"Alta"</formula>
    </cfRule>
    <cfRule type="cellIs" dxfId="1510" priority="7970" operator="equal">
      <formula>"Muy Alta"</formula>
    </cfRule>
  </conditionalFormatting>
  <conditionalFormatting sqref="AM302:AN302">
    <cfRule type="cellIs" dxfId="1498" priority="7956" operator="equal">
      <formula>"Media"</formula>
    </cfRule>
    <cfRule type="cellIs" dxfId="1497" priority="7957" operator="equal">
      <formula>"Baja"</formula>
    </cfRule>
    <cfRule type="cellIs" dxfId="1495" priority="7958" operator="equal">
      <formula>"Muy Baja"</formula>
    </cfRule>
    <cfRule type="cellIs" dxfId="1489" priority="7954" operator="equal">
      <formula>"Muy Alta"</formula>
    </cfRule>
    <cfRule type="cellIs" dxfId="1488" priority="7955" operator="equal">
      <formula>"Alta"</formula>
    </cfRule>
  </conditionalFormatting>
  <conditionalFormatting sqref="AM312:AN312">
    <cfRule type="cellIs" dxfId="1486" priority="7188" operator="equal">
      <formula>"Muy Alta"</formula>
    </cfRule>
    <cfRule type="cellIs" dxfId="1482" priority="7189" operator="equal">
      <formula>"Alta"</formula>
    </cfRule>
    <cfRule type="cellIs" dxfId="1481" priority="7190" operator="equal">
      <formula>"Media"</formula>
    </cfRule>
    <cfRule type="cellIs" dxfId="1480" priority="7191" operator="equal">
      <formula>"Baja"</formula>
    </cfRule>
    <cfRule type="cellIs" dxfId="1479" priority="7192" operator="equal">
      <formula>"Muy Baja"</formula>
    </cfRule>
  </conditionalFormatting>
  <conditionalFormatting sqref="AM332:AN332">
    <cfRule type="cellIs" dxfId="1465" priority="7010" operator="equal">
      <formula>"Media"</formula>
    </cfRule>
    <cfRule type="cellIs" dxfId="1464" priority="7009" operator="equal">
      <formula>"Alta"</formula>
    </cfRule>
    <cfRule type="cellIs" dxfId="1462" priority="7012" operator="equal">
      <formula>"Muy Baja"</formula>
    </cfRule>
    <cfRule type="cellIs" dxfId="1460" priority="7008" operator="equal">
      <formula>"Muy Alta"</formula>
    </cfRule>
    <cfRule type="cellIs" dxfId="1454" priority="7011" operator="equal">
      <formula>"Baja"</formula>
    </cfRule>
  </conditionalFormatting>
  <conditionalFormatting sqref="AM342:AN342">
    <cfRule type="cellIs" dxfId="1444" priority="6994" operator="equal">
      <formula>"Media"</formula>
    </cfRule>
    <cfRule type="cellIs" dxfId="1443" priority="6996" operator="equal">
      <formula>"Muy Baja"</formula>
    </cfRule>
    <cfRule type="cellIs" dxfId="1442" priority="6995" operator="equal">
      <formula>"Baja"</formula>
    </cfRule>
    <cfRule type="cellIs" dxfId="1441" priority="6993" operator="equal">
      <formula>"Alta"</formula>
    </cfRule>
    <cfRule type="cellIs" dxfId="1440" priority="6992" operator="equal">
      <formula>"Muy Alta"</formula>
    </cfRule>
  </conditionalFormatting>
  <conditionalFormatting sqref="AM352:AN352">
    <cfRule type="cellIs" dxfId="1437" priority="6978" operator="equal">
      <formula>"Media"</formula>
    </cfRule>
    <cfRule type="cellIs" dxfId="1436" priority="6977" operator="equal">
      <formula>"Alta"</formula>
    </cfRule>
    <cfRule type="cellIs" dxfId="1435" priority="6976" operator="equal">
      <formula>"Muy Alta"</formula>
    </cfRule>
    <cfRule type="cellIs" dxfId="1431" priority="6979" operator="equal">
      <formula>"Baja"</formula>
    </cfRule>
    <cfRule type="cellIs" dxfId="1428" priority="6980" operator="equal">
      <formula>"Muy Baja"</formula>
    </cfRule>
  </conditionalFormatting>
  <conditionalFormatting sqref="AM372:AN372">
    <cfRule type="cellIs" dxfId="1420" priority="6610" operator="equal">
      <formula>"Muy Alta"</formula>
    </cfRule>
    <cfRule type="cellIs" dxfId="1408" priority="6611" operator="equal">
      <formula>"Alta"</formula>
    </cfRule>
    <cfRule type="cellIs" dxfId="1407" priority="6612" operator="equal">
      <formula>"Media"</formula>
    </cfRule>
    <cfRule type="cellIs" dxfId="1406" priority="6613" operator="equal">
      <formula>"Baja"</formula>
    </cfRule>
    <cfRule type="cellIs" dxfId="1405" priority="6614" operator="equal">
      <formula>"Muy Baja"</formula>
    </cfRule>
  </conditionalFormatting>
  <conditionalFormatting sqref="AM382:AN382">
    <cfRule type="cellIs" dxfId="1401" priority="6596" operator="equal">
      <formula>"Media"</formula>
    </cfRule>
    <cfRule type="cellIs" dxfId="1400" priority="6597" operator="equal">
      <formula>"Baja"</formula>
    </cfRule>
    <cfRule type="cellIs" dxfId="1392" priority="6594" operator="equal">
      <formula>"Muy Alta"</formula>
    </cfRule>
    <cfRule type="cellIs" dxfId="1390" priority="6595" operator="equal">
      <formula>"Alta"</formula>
    </cfRule>
    <cfRule type="cellIs" dxfId="1389" priority="6598" operator="equal">
      <formula>"Muy Baja"</formula>
    </cfRule>
  </conditionalFormatting>
  <conditionalFormatting sqref="AM392:AN392">
    <cfRule type="cellIs" dxfId="1388" priority="6578" operator="equal">
      <formula>"Muy Alta"</formula>
    </cfRule>
    <cfRule type="cellIs" dxfId="1387" priority="6582" operator="equal">
      <formula>"Muy Baja"</formula>
    </cfRule>
    <cfRule type="cellIs" dxfId="1386" priority="6581" operator="equal">
      <formula>"Baja"</formula>
    </cfRule>
    <cfRule type="cellIs" dxfId="1385" priority="6579" operator="equal">
      <formula>"Alta"</formula>
    </cfRule>
    <cfRule type="cellIs" dxfId="1373" priority="6580" operator="equal">
      <formula>"Media"</formula>
    </cfRule>
  </conditionalFormatting>
  <conditionalFormatting sqref="AM412:AN412">
    <cfRule type="cellIs" dxfId="1364" priority="6212" operator="equal">
      <formula>"Muy Alta"</formula>
    </cfRule>
    <cfRule type="cellIs" dxfId="1362" priority="6213" operator="equal">
      <formula>"Alta"</formula>
    </cfRule>
    <cfRule type="cellIs" dxfId="1360" priority="6214" operator="equal">
      <formula>"Media"</formula>
    </cfRule>
    <cfRule type="cellIs" dxfId="1359" priority="6216" operator="equal">
      <formula>"Muy Baja"</formula>
    </cfRule>
    <cfRule type="cellIs" dxfId="1358" priority="6215" operator="equal">
      <formula>"Baja"</formula>
    </cfRule>
  </conditionalFormatting>
  <conditionalFormatting sqref="AM432:AN432">
    <cfRule type="cellIs" dxfId="1354" priority="5998" operator="equal">
      <formula>"Muy Baja"</formula>
    </cfRule>
    <cfRule type="cellIs" dxfId="1353" priority="5997" operator="equal">
      <formula>"Baja"</formula>
    </cfRule>
    <cfRule type="cellIs" dxfId="1351" priority="5995" operator="equal">
      <formula>"Alta"</formula>
    </cfRule>
    <cfRule type="cellIs" dxfId="1350" priority="5994" operator="equal">
      <formula>"Muy Alta"</formula>
    </cfRule>
    <cfRule type="cellIs" dxfId="1340" priority="5996" operator="equal">
      <formula>"Media"</formula>
    </cfRule>
  </conditionalFormatting>
  <conditionalFormatting sqref="AM442:AN442">
    <cfRule type="cellIs" dxfId="1331" priority="5844" operator="equal">
      <formula>"Muy Baja"</formula>
    </cfRule>
    <cfRule type="cellIs" dxfId="1327" priority="5842" operator="equal">
      <formula>"Media"</formula>
    </cfRule>
    <cfRule type="cellIs" dxfId="1326" priority="5843" operator="equal">
      <formula>"Baja"</formula>
    </cfRule>
    <cfRule type="cellIs" dxfId="1325" priority="5840" operator="equal">
      <formula>"Muy Alta"</formula>
    </cfRule>
    <cfRule type="cellIs" dxfId="1324" priority="5841" operator="equal">
      <formula>"Alta"</formula>
    </cfRule>
  </conditionalFormatting>
  <conditionalFormatting sqref="AM452:AN452">
    <cfRule type="cellIs" dxfId="1311" priority="5824" operator="equal">
      <formula>"Muy Alta"</formula>
    </cfRule>
    <cfRule type="cellIs" dxfId="1310" priority="5825" operator="equal">
      <formula>"Alta"</formula>
    </cfRule>
    <cfRule type="cellIs" dxfId="1309" priority="5826" operator="equal">
      <formula>"Media"</formula>
    </cfRule>
    <cfRule type="cellIs" dxfId="1308" priority="5827" operator="equal">
      <formula>"Baja"</formula>
    </cfRule>
    <cfRule type="cellIs" dxfId="1307" priority="5828" operator="equal">
      <formula>"Muy Baja"</formula>
    </cfRule>
  </conditionalFormatting>
  <conditionalFormatting sqref="AM462:AN462">
    <cfRule type="cellIs" dxfId="1299" priority="5812" operator="equal">
      <formula>"Muy Baja"</formula>
    </cfRule>
    <cfRule type="cellIs" dxfId="1298" priority="5811" operator="equal">
      <formula>"Baja"</formula>
    </cfRule>
    <cfRule type="cellIs" dxfId="1297" priority="5810" operator="equal">
      <formula>"Media"</formula>
    </cfRule>
    <cfRule type="cellIs" dxfId="1296" priority="5809" operator="equal">
      <formula>"Alta"</formula>
    </cfRule>
    <cfRule type="cellIs" dxfId="1295" priority="5808" operator="equal">
      <formula>"Muy Alta"</formula>
    </cfRule>
  </conditionalFormatting>
  <conditionalFormatting sqref="AM472:AN472">
    <cfRule type="cellIs" dxfId="1290" priority="5792" operator="equal">
      <formula>"Muy Alta"</formula>
    </cfRule>
    <cfRule type="cellIs" dxfId="1288" priority="5796" operator="equal">
      <formula>"Muy Baja"</formula>
    </cfRule>
    <cfRule type="cellIs" dxfId="1287" priority="5795" operator="equal">
      <formula>"Baja"</formula>
    </cfRule>
    <cfRule type="cellIs" dxfId="1286" priority="5794" operator="equal">
      <formula>"Media"</formula>
    </cfRule>
    <cfRule type="cellIs" dxfId="1285" priority="5793" operator="equal">
      <formula>"Alta"</formula>
    </cfRule>
  </conditionalFormatting>
  <conditionalFormatting sqref="AM482:AN482">
    <cfRule type="cellIs" dxfId="1268" priority="5776" operator="equal">
      <formula>"Muy Alta"</formula>
    </cfRule>
    <cfRule type="cellIs" dxfId="1262" priority="5780" operator="equal">
      <formula>"Muy Baja"</formula>
    </cfRule>
    <cfRule type="cellIs" dxfId="1261" priority="5779" operator="equal">
      <formula>"Baja"</formula>
    </cfRule>
    <cfRule type="cellIs" dxfId="1260" priority="5778" operator="equal">
      <formula>"Media"</formula>
    </cfRule>
    <cfRule type="cellIs" dxfId="1259" priority="5777" operator="equal">
      <formula>"Alta"</formula>
    </cfRule>
  </conditionalFormatting>
  <conditionalFormatting sqref="AM492:AN492">
    <cfRule type="cellIs" dxfId="1258" priority="5760" operator="equal">
      <formula>"Muy Alta"</formula>
    </cfRule>
    <cfRule type="cellIs" dxfId="1256" priority="5764" operator="equal">
      <formula>"Muy Baja"</formula>
    </cfRule>
    <cfRule type="cellIs" dxfId="1255" priority="5763" operator="equal">
      <formula>"Baja"</formula>
    </cfRule>
    <cfRule type="cellIs" dxfId="1254" priority="5762" operator="equal">
      <formula>"Media"</formula>
    </cfRule>
    <cfRule type="cellIs" dxfId="1249" priority="5761" operator="equal">
      <formula>"Alta"</formula>
    </cfRule>
  </conditionalFormatting>
  <conditionalFormatting sqref="AM502:AN502">
    <cfRule type="cellIs" dxfId="1239" priority="5329" operator="equal">
      <formula>"Baja"</formula>
    </cfRule>
    <cfRule type="cellIs" dxfId="1238" priority="5327" operator="equal">
      <formula>"Alta"</formula>
    </cfRule>
    <cfRule type="cellIs" dxfId="1237" priority="5330" operator="equal">
      <formula>"Muy Baja"</formula>
    </cfRule>
    <cfRule type="cellIs" dxfId="1236" priority="5326" operator="equal">
      <formula>"Muy Alta"</formula>
    </cfRule>
    <cfRule type="cellIs" dxfId="1230" priority="5328" operator="equal">
      <formula>"Media"</formula>
    </cfRule>
  </conditionalFormatting>
  <conditionalFormatting sqref="AM512:AN512">
    <cfRule type="cellIs" dxfId="1225" priority="5314" operator="equal">
      <formula>"Muy Baja"</formula>
    </cfRule>
    <cfRule type="cellIs" dxfId="1224" priority="5313" operator="equal">
      <formula>"Baja"</formula>
    </cfRule>
    <cfRule type="cellIs" dxfId="1223" priority="5312" operator="equal">
      <formula>"Media"</formula>
    </cfRule>
    <cfRule type="cellIs" dxfId="1222" priority="5311" operator="equal">
      <formula>"Alta"</formula>
    </cfRule>
    <cfRule type="cellIs" dxfId="1221" priority="5310" operator="equal">
      <formula>"Muy Alta"</formula>
    </cfRule>
  </conditionalFormatting>
  <conditionalFormatting sqref="AM522:AN522">
    <cfRule type="cellIs" dxfId="1200" priority="5298" operator="equal">
      <formula>"Muy Baja"</formula>
    </cfRule>
    <cfRule type="cellIs" dxfId="1199" priority="5297" operator="equal">
      <formula>"Baja"</formula>
    </cfRule>
    <cfRule type="cellIs" dxfId="1198" priority="5296" operator="equal">
      <formula>"Media"</formula>
    </cfRule>
    <cfRule type="cellIs" dxfId="1197" priority="5295" operator="equal">
      <formula>"Alta"</formula>
    </cfRule>
    <cfRule type="cellIs" dxfId="1196" priority="5294" operator="equal">
      <formula>"Muy Alta"</formula>
    </cfRule>
  </conditionalFormatting>
  <conditionalFormatting sqref="AM542:AN542">
    <cfRule type="cellIs" dxfId="1185" priority="4961" operator="equal">
      <formula>"Alta"</formula>
    </cfRule>
    <cfRule type="cellIs" dxfId="1183" priority="4964" operator="equal">
      <formula>"Muy Baja"</formula>
    </cfRule>
    <cfRule type="cellIs" dxfId="1182" priority="4963" operator="equal">
      <formula>"Baja"</formula>
    </cfRule>
    <cfRule type="cellIs" dxfId="1181" priority="4962" operator="equal">
      <formula>"Media"</formula>
    </cfRule>
    <cfRule type="cellIs" dxfId="1180" priority="4960" operator="equal">
      <formula>"Muy Alta"</formula>
    </cfRule>
  </conditionalFormatting>
  <conditionalFormatting sqref="AM552:AN552">
    <cfRule type="cellIs" dxfId="1177" priority="4806" operator="equal">
      <formula>"Muy Alta"</formula>
    </cfRule>
    <cfRule type="cellIs" dxfId="1168" priority="4807" operator="equal">
      <formula>"Alta"</formula>
    </cfRule>
    <cfRule type="cellIs" dxfId="1166" priority="4810" operator="equal">
      <formula>"Muy Baja"</formula>
    </cfRule>
    <cfRule type="cellIs" dxfId="1165" priority="4809" operator="equal">
      <formula>"Baja"</formula>
    </cfRule>
    <cfRule type="cellIs" dxfId="1164" priority="4808" operator="equal">
      <formula>"Media"</formula>
    </cfRule>
  </conditionalFormatting>
  <conditionalFormatting sqref="AM562:AN562">
    <cfRule type="cellIs" dxfId="1152" priority="4694" operator="equal">
      <formula>"Muy Alta"</formula>
    </cfRule>
    <cfRule type="cellIs" dxfId="1151" priority="4695" operator="equal">
      <formula>"Alta"</formula>
    </cfRule>
    <cfRule type="cellIs" dxfId="1150" priority="4696" operator="equal">
      <formula>"Media"</formula>
    </cfRule>
    <cfRule type="cellIs" dxfId="1149" priority="4697" operator="equal">
      <formula>"Baja"</formula>
    </cfRule>
    <cfRule type="cellIs" dxfId="1148" priority="4698" operator="equal">
      <formula>"Muy Baja"</formula>
    </cfRule>
  </conditionalFormatting>
  <conditionalFormatting sqref="AM572:AN572">
    <cfRule type="cellIs" dxfId="1142" priority="4678" operator="equal">
      <formula>"Muy Alta"</formula>
    </cfRule>
    <cfRule type="cellIs" dxfId="1141" priority="4680" operator="equal">
      <formula>"Media"</formula>
    </cfRule>
    <cfRule type="cellIs" dxfId="1140" priority="4679" operator="equal">
      <formula>"Alta"</formula>
    </cfRule>
    <cfRule type="cellIs" dxfId="1139" priority="4681" operator="equal">
      <formula>"Baja"</formula>
    </cfRule>
    <cfRule type="cellIs" dxfId="1138" priority="4682" operator="equal">
      <formula>"Muy Baja"</formula>
    </cfRule>
  </conditionalFormatting>
  <conditionalFormatting sqref="AM582:AN582">
    <cfRule type="cellIs" dxfId="1129" priority="4496" operator="equal">
      <formula>"Muy Baja"</formula>
    </cfRule>
    <cfRule type="cellIs" dxfId="1128" priority="4495" operator="equal">
      <formula>"Baja"</formula>
    </cfRule>
    <cfRule type="cellIs" dxfId="1127" priority="4494" operator="equal">
      <formula>"Media"</formula>
    </cfRule>
    <cfRule type="cellIs" dxfId="1126" priority="4493" operator="equal">
      <formula>"Alta"</formula>
    </cfRule>
    <cfRule type="cellIs" dxfId="1125" priority="4492" operator="equal">
      <formula>"Muy Alta"</formula>
    </cfRule>
  </conditionalFormatting>
  <conditionalFormatting sqref="AM592:AN592">
    <cfRule type="cellIs" dxfId="1103" priority="4476" operator="equal">
      <formula>"Muy Alta"</formula>
    </cfRule>
    <cfRule type="cellIs" dxfId="1102" priority="4477" operator="equal">
      <formula>"Alta"</formula>
    </cfRule>
    <cfRule type="cellIs" dxfId="1101" priority="4480" operator="equal">
      <formula>"Muy Baja"</formula>
    </cfRule>
    <cfRule type="cellIs" dxfId="1099" priority="4479" operator="equal">
      <formula>"Baja"</formula>
    </cfRule>
    <cfRule type="cellIs" dxfId="1098" priority="4478" operator="equal">
      <formula>"Media"</formula>
    </cfRule>
  </conditionalFormatting>
  <conditionalFormatting sqref="AM602:AN602">
    <cfRule type="cellIs" dxfId="1089" priority="4460" operator="equal">
      <formula>"Muy Alta"</formula>
    </cfRule>
    <cfRule type="cellIs" dxfId="1088" priority="4461" operator="equal">
      <formula>"Alta"</formula>
    </cfRule>
    <cfRule type="cellIs" dxfId="1087" priority="4462" operator="equal">
      <formula>"Media"</formula>
    </cfRule>
    <cfRule type="cellIs" dxfId="1086" priority="4463" operator="equal">
      <formula>"Baja"</formula>
    </cfRule>
    <cfRule type="cellIs" dxfId="1084" priority="4464" operator="equal">
      <formula>"Muy Baja"</formula>
    </cfRule>
  </conditionalFormatting>
  <conditionalFormatting sqref="AM612:AN612">
    <cfRule type="cellIs" dxfId="1073" priority="4114" operator="equal">
      <formula>"Muy Baja"</formula>
    </cfRule>
    <cfRule type="cellIs" dxfId="1070" priority="4113" operator="equal">
      <formula>"Baja"</formula>
    </cfRule>
    <cfRule type="cellIs" dxfId="1069" priority="4112" operator="equal">
      <formula>"Media"</formula>
    </cfRule>
    <cfRule type="cellIs" dxfId="1068" priority="4111" operator="equal">
      <formula>"Alta"</formula>
    </cfRule>
    <cfRule type="cellIs" dxfId="1067" priority="4110" operator="equal">
      <formula>"Muy Alta"</formula>
    </cfRule>
  </conditionalFormatting>
  <conditionalFormatting sqref="AM632:AN632">
    <cfRule type="cellIs" dxfId="1054" priority="3934" operator="equal">
      <formula>"Muy Baja"</formula>
    </cfRule>
    <cfRule type="cellIs" dxfId="1053" priority="3933" operator="equal">
      <formula>"Baja"</formula>
    </cfRule>
    <cfRule type="cellIs" dxfId="1052" priority="3932" operator="equal">
      <formula>"Media"</formula>
    </cfRule>
    <cfRule type="cellIs" dxfId="1051" priority="3931" operator="equal">
      <formula>"Alta"</formula>
    </cfRule>
    <cfRule type="cellIs" dxfId="1050" priority="3930" operator="equal">
      <formula>"Muy Alta"</formula>
    </cfRule>
  </conditionalFormatting>
  <conditionalFormatting sqref="AM642:AN642">
    <cfRule type="cellIs" dxfId="1038" priority="3914" operator="equal">
      <formula>"Muy Alta"</formula>
    </cfRule>
    <cfRule type="cellIs" dxfId="1037" priority="3915" operator="equal">
      <formula>"Alta"</formula>
    </cfRule>
    <cfRule type="cellIs" dxfId="1036" priority="3916" operator="equal">
      <formula>"Media"</formula>
    </cfRule>
    <cfRule type="cellIs" dxfId="1035" priority="3917" operator="equal">
      <formula>"Baja"</formula>
    </cfRule>
    <cfRule type="cellIs" dxfId="1034" priority="3918" operator="equal">
      <formula>"Muy Baja"</formula>
    </cfRule>
  </conditionalFormatting>
  <conditionalFormatting sqref="AM652:AN652">
    <cfRule type="cellIs" dxfId="1025" priority="3690" operator="equal">
      <formula>"Muy Alta"</formula>
    </cfRule>
    <cfRule type="cellIs" dxfId="1024" priority="3694" operator="equal">
      <formula>"Muy Baja"</formula>
    </cfRule>
    <cfRule type="cellIs" dxfId="1023" priority="3693" operator="equal">
      <formula>"Baja"</formula>
    </cfRule>
    <cfRule type="cellIs" dxfId="1022" priority="3692" operator="equal">
      <formula>"Media"</formula>
    </cfRule>
    <cfRule type="cellIs" dxfId="1021" priority="3691" operator="equal">
      <formula>"Alta"</formula>
    </cfRule>
  </conditionalFormatting>
  <conditionalFormatting sqref="AM662:AN662">
    <cfRule type="cellIs" dxfId="1007" priority="3576" operator="equal">
      <formula>"Media"</formula>
    </cfRule>
    <cfRule type="cellIs" dxfId="1006" priority="3577" operator="equal">
      <formula>"Baja"</formula>
    </cfRule>
    <cfRule type="cellIs" dxfId="1005" priority="3578" operator="equal">
      <formula>"Muy Baja"</formula>
    </cfRule>
    <cfRule type="cellIs" dxfId="1004" priority="3574" operator="equal">
      <formula>"Muy Alta"</formula>
    </cfRule>
    <cfRule type="cellIs" dxfId="1003" priority="3575" operator="equal">
      <formula>"Alta"</formula>
    </cfRule>
  </conditionalFormatting>
  <conditionalFormatting sqref="AM672:AN672">
    <cfRule type="cellIs" dxfId="999" priority="3562" operator="equal">
      <formula>"Muy Baja"</formula>
    </cfRule>
    <cfRule type="cellIs" dxfId="998" priority="3561" operator="equal">
      <formula>"Baja"</formula>
    </cfRule>
    <cfRule type="cellIs" dxfId="997" priority="3560" operator="equal">
      <formula>"Media"</formula>
    </cfRule>
    <cfRule type="cellIs" dxfId="996" priority="3559" operator="equal">
      <formula>"Alta"</formula>
    </cfRule>
    <cfRule type="cellIs" dxfId="995" priority="3558" operator="equal">
      <formula>"Muy Alta"</formula>
    </cfRule>
  </conditionalFormatting>
  <conditionalFormatting sqref="AM682:AN682">
    <cfRule type="cellIs" dxfId="983" priority="3546" operator="equal">
      <formula>"Muy Baja"</formula>
    </cfRule>
    <cfRule type="cellIs" dxfId="982" priority="3545" operator="equal">
      <formula>"Baja"</formula>
    </cfRule>
    <cfRule type="cellIs" dxfId="981" priority="3544" operator="equal">
      <formula>"Media"</formula>
    </cfRule>
    <cfRule type="cellIs" dxfId="980" priority="3543" operator="equal">
      <formula>"Alta"</formula>
    </cfRule>
    <cfRule type="cellIs" dxfId="979" priority="3542" operator="equal">
      <formula>"Muy Alta"</formula>
    </cfRule>
  </conditionalFormatting>
  <conditionalFormatting sqref="AM692:AN692">
    <cfRule type="cellIs" dxfId="968" priority="3530" operator="equal">
      <formula>"Muy Baja"</formula>
    </cfRule>
    <cfRule type="cellIs" dxfId="967" priority="3529" operator="equal">
      <formula>"Baja"</formula>
    </cfRule>
    <cfRule type="cellIs" dxfId="965" priority="3526" operator="equal">
      <formula>"Muy Alta"</formula>
    </cfRule>
    <cfRule type="cellIs" dxfId="964" priority="3527" operator="equal">
      <formula>"Alta"</formula>
    </cfRule>
    <cfRule type="cellIs" dxfId="963" priority="3528" operator="equal">
      <formula>"Media"</formula>
    </cfRule>
  </conditionalFormatting>
  <conditionalFormatting sqref="AM702:AN702">
    <cfRule type="cellIs" dxfId="941" priority="3510" operator="equal">
      <formula>"Muy Alta"</formula>
    </cfRule>
    <cfRule type="cellIs" dxfId="940" priority="3511" operator="equal">
      <formula>"Alta"</formula>
    </cfRule>
    <cfRule type="cellIs" dxfId="939" priority="3512" operator="equal">
      <formula>"Media"</formula>
    </cfRule>
    <cfRule type="cellIs" dxfId="938" priority="3513" operator="equal">
      <formula>"Baja"</formula>
    </cfRule>
    <cfRule type="cellIs" dxfId="937" priority="3514" operator="equal">
      <formula>"Muy Baja"</formula>
    </cfRule>
  </conditionalFormatting>
  <conditionalFormatting sqref="AM712:AN712">
    <cfRule type="cellIs" dxfId="934" priority="3498" operator="equal">
      <formula>"Muy Baja"</formula>
    </cfRule>
    <cfRule type="cellIs" dxfId="933" priority="3497" operator="equal">
      <formula>"Baja"</formula>
    </cfRule>
    <cfRule type="cellIs" dxfId="932" priority="3496" operator="equal">
      <formula>"Media"</formula>
    </cfRule>
    <cfRule type="cellIs" dxfId="931" priority="3495" operator="equal">
      <formula>"Alta"</formula>
    </cfRule>
    <cfRule type="cellIs" dxfId="930" priority="3494" operator="equal">
      <formula>"Muy Alta"</formula>
    </cfRule>
  </conditionalFormatting>
  <conditionalFormatting sqref="AM722:AN722">
    <cfRule type="cellIs" dxfId="919" priority="3004" operator="equal">
      <formula>"Muy Baja"</formula>
    </cfRule>
    <cfRule type="cellIs" dxfId="918" priority="3002" operator="equal">
      <formula>"Media"</formula>
    </cfRule>
    <cfRule type="cellIs" dxfId="917" priority="3001" operator="equal">
      <formula>"Alta"</formula>
    </cfRule>
    <cfRule type="cellIs" dxfId="916" priority="3000" operator="equal">
      <formula>"Muy Alta"</formula>
    </cfRule>
    <cfRule type="cellIs" dxfId="905" priority="3003" operator="equal">
      <formula>"Baja"</formula>
    </cfRule>
  </conditionalFormatting>
  <conditionalFormatting sqref="AM732:AN732">
    <cfRule type="cellIs" dxfId="904" priority="2988" operator="equal">
      <formula>"Muy Baja"</formula>
    </cfRule>
    <cfRule type="cellIs" dxfId="901" priority="2984" operator="equal">
      <formula>"Muy Alta"</formula>
    </cfRule>
    <cfRule type="cellIs" dxfId="900" priority="2985" operator="equal">
      <formula>"Alta"</formula>
    </cfRule>
    <cfRule type="cellIs" dxfId="891" priority="2986" operator="equal">
      <formula>"Media"</formula>
    </cfRule>
    <cfRule type="cellIs" dxfId="890" priority="2987" operator="equal">
      <formula>"Baja"</formula>
    </cfRule>
  </conditionalFormatting>
  <conditionalFormatting sqref="AM742:AN742">
    <cfRule type="cellIs" dxfId="887" priority="2972" operator="equal">
      <formula>"Muy Baja"</formula>
    </cfRule>
    <cfRule type="cellIs" dxfId="882" priority="2971" operator="equal">
      <formula>"Baja"</formula>
    </cfRule>
    <cfRule type="cellIs" dxfId="881" priority="2968" operator="equal">
      <formula>"Muy Alta"</formula>
    </cfRule>
    <cfRule type="cellIs" dxfId="880" priority="2969" operator="equal">
      <formula>"Alta"</formula>
    </cfRule>
    <cfRule type="cellIs" dxfId="876" priority="2970" operator="equal">
      <formula>"Media"</formula>
    </cfRule>
  </conditionalFormatting>
  <conditionalFormatting sqref="AM752:AN752">
    <cfRule type="cellIs" dxfId="869" priority="2952" operator="equal">
      <formula>"Muy Alta"</formula>
    </cfRule>
    <cfRule type="cellIs" dxfId="868" priority="2953" operator="equal">
      <formula>"Alta"</formula>
    </cfRule>
    <cfRule type="cellIs" dxfId="867" priority="2955" operator="equal">
      <formula>"Baja"</formula>
    </cfRule>
    <cfRule type="cellIs" dxfId="866" priority="2956" operator="equal">
      <formula>"Muy Baja"</formula>
    </cfRule>
    <cfRule type="cellIs" dxfId="865" priority="2954" operator="equal">
      <formula>"Media"</formula>
    </cfRule>
  </conditionalFormatting>
  <conditionalFormatting sqref="AM762:AN762">
    <cfRule type="cellIs" dxfId="856" priority="2936" operator="equal">
      <formula>"Muy Alta"</formula>
    </cfRule>
    <cfRule type="cellIs" dxfId="852" priority="2940" operator="equal">
      <formula>"Muy Baja"</formula>
    </cfRule>
    <cfRule type="cellIs" dxfId="851" priority="2939" operator="equal">
      <formula>"Baja"</formula>
    </cfRule>
    <cfRule type="cellIs" dxfId="850" priority="2938" operator="equal">
      <formula>"Media"</formula>
    </cfRule>
    <cfRule type="cellIs" dxfId="849" priority="2937" operator="equal">
      <formula>"Alta"</formula>
    </cfRule>
  </conditionalFormatting>
  <conditionalFormatting sqref="AM772:AN772">
    <cfRule type="cellIs" dxfId="839" priority="2924" operator="equal">
      <formula>"Muy Baja"</formula>
    </cfRule>
    <cfRule type="cellIs" dxfId="838" priority="2923" operator="equal">
      <formula>"Baja"</formula>
    </cfRule>
    <cfRule type="cellIs" dxfId="832" priority="2922" operator="equal">
      <formula>"Media"</formula>
    </cfRule>
    <cfRule type="cellIs" dxfId="831" priority="2921" operator="equal">
      <formula>"Alta"</formula>
    </cfRule>
    <cfRule type="cellIs" dxfId="830" priority="2920" operator="equal">
      <formula>"Muy Alta"</formula>
    </cfRule>
  </conditionalFormatting>
  <conditionalFormatting sqref="AM782:AN782">
    <cfRule type="cellIs" dxfId="824" priority="2906" operator="equal">
      <formula>"Media"</formula>
    </cfRule>
    <cfRule type="cellIs" dxfId="823" priority="2907" operator="equal">
      <formula>"Baja"</formula>
    </cfRule>
    <cfRule type="cellIs" dxfId="822" priority="2908" operator="equal">
      <formula>"Muy Baja"</formula>
    </cfRule>
    <cfRule type="cellIs" dxfId="821" priority="2904" operator="equal">
      <formula>"Muy Alta"</formula>
    </cfRule>
    <cfRule type="cellIs" dxfId="813" priority="2905" operator="equal">
      <formula>"Alta"</formula>
    </cfRule>
  </conditionalFormatting>
  <conditionalFormatting sqref="AM792:AN792">
    <cfRule type="cellIs" dxfId="797" priority="2888" operator="equal">
      <formula>"Muy Alta"</formula>
    </cfRule>
    <cfRule type="cellIs" dxfId="796" priority="2889" operator="equal">
      <formula>"Alta"</formula>
    </cfRule>
    <cfRule type="cellIs" dxfId="795" priority="2890" operator="equal">
      <formula>"Media"</formula>
    </cfRule>
    <cfRule type="cellIs" dxfId="794" priority="2891" operator="equal">
      <formula>"Baja"</formula>
    </cfRule>
    <cfRule type="cellIs" dxfId="793" priority="2892" operator="equal">
      <formula>"Muy Baja"</formula>
    </cfRule>
  </conditionalFormatting>
  <conditionalFormatting sqref="AM802:AN802">
    <cfRule type="cellIs" dxfId="791" priority="2876" operator="equal">
      <formula>"Muy Baja"</formula>
    </cfRule>
    <cfRule type="cellIs" dxfId="790" priority="2875" operator="equal">
      <formula>"Baja"</formula>
    </cfRule>
    <cfRule type="cellIs" dxfId="789" priority="2873" operator="equal">
      <formula>"Alta"</formula>
    </cfRule>
    <cfRule type="cellIs" dxfId="788" priority="2872" operator="equal">
      <formula>"Muy Alta"</formula>
    </cfRule>
    <cfRule type="cellIs" dxfId="783" priority="2874" operator="equal">
      <formula>"Media"</formula>
    </cfRule>
  </conditionalFormatting>
  <conditionalFormatting sqref="AM812:AN812">
    <cfRule type="cellIs" dxfId="775" priority="2144" operator="equal">
      <formula>"Muy Alta"</formula>
    </cfRule>
    <cfRule type="cellIs" dxfId="774" priority="2147" operator="equal">
      <formula>"Baja"</formula>
    </cfRule>
    <cfRule type="cellIs" dxfId="773" priority="2148" operator="equal">
      <formula>"Muy Baja"</formula>
    </cfRule>
    <cfRule type="cellIs" dxfId="772" priority="2146" operator="equal">
      <formula>"Media"</formula>
    </cfRule>
    <cfRule type="cellIs" dxfId="771" priority="2145" operator="equal">
      <formula>"Alta"</formula>
    </cfRule>
  </conditionalFormatting>
  <conditionalFormatting sqref="AM822:AN822">
    <cfRule type="cellIs" dxfId="749" priority="2132" operator="equal">
      <formula>"Muy Baja"</formula>
    </cfRule>
    <cfRule type="cellIs" dxfId="748" priority="2131" operator="equal">
      <formula>"Baja"</formula>
    </cfRule>
    <cfRule type="cellIs" dxfId="747" priority="2130" operator="equal">
      <formula>"Media"</formula>
    </cfRule>
    <cfRule type="cellIs" dxfId="746" priority="2129" operator="equal">
      <formula>"Alta"</formula>
    </cfRule>
    <cfRule type="cellIs" dxfId="745" priority="2128" operator="equal">
      <formula>"Muy Alta"</formula>
    </cfRule>
  </conditionalFormatting>
  <conditionalFormatting sqref="AM832:AN832">
    <cfRule type="cellIs" dxfId="735" priority="2112" operator="equal">
      <formula>"Muy Alta"</formula>
    </cfRule>
    <cfRule type="cellIs" dxfId="733" priority="2115" operator="equal">
      <formula>"Baja"</formula>
    </cfRule>
    <cfRule type="cellIs" dxfId="732" priority="2114" operator="equal">
      <formula>"Media"</formula>
    </cfRule>
    <cfRule type="cellIs" dxfId="731" priority="2116" operator="equal">
      <formula>"Muy Baja"</formula>
    </cfRule>
    <cfRule type="cellIs" dxfId="730" priority="2113" operator="equal">
      <formula>"Alta"</formula>
    </cfRule>
  </conditionalFormatting>
  <conditionalFormatting sqref="AM842:AN842">
    <cfRule type="cellIs" dxfId="719" priority="2100" operator="equal">
      <formula>"Muy Baja"</formula>
    </cfRule>
    <cfRule type="cellIs" dxfId="718" priority="2099" operator="equal">
      <formula>"Baja"</formula>
    </cfRule>
    <cfRule type="cellIs" dxfId="717" priority="2098" operator="equal">
      <formula>"Media"</formula>
    </cfRule>
    <cfRule type="cellIs" dxfId="716" priority="2097" operator="equal">
      <formula>"Alta"</formula>
    </cfRule>
    <cfRule type="cellIs" dxfId="715" priority="2096" operator="equal">
      <formula>"Muy Alta"</formula>
    </cfRule>
  </conditionalFormatting>
  <conditionalFormatting sqref="AM852:AN852">
    <cfRule type="cellIs" dxfId="712" priority="2084" operator="equal">
      <formula>"Muy Baja"</formula>
    </cfRule>
    <cfRule type="cellIs" dxfId="705" priority="2083" operator="equal">
      <formula>"Baja"</formula>
    </cfRule>
    <cfRule type="cellIs" dxfId="701" priority="2082" operator="equal">
      <formula>"Media"</formula>
    </cfRule>
    <cfRule type="cellIs" dxfId="699" priority="2081" operator="equal">
      <formula>"Alta"</formula>
    </cfRule>
    <cfRule type="cellIs" dxfId="698" priority="2080" operator="equal">
      <formula>"Muy Alta"</formula>
    </cfRule>
  </conditionalFormatting>
  <conditionalFormatting sqref="AM862:AN862">
    <cfRule type="cellIs" dxfId="685" priority="2064" operator="equal">
      <formula>"Muy Alta"</formula>
    </cfRule>
    <cfRule type="cellIs" dxfId="684" priority="2065" operator="equal">
      <formula>"Alta"</formula>
    </cfRule>
    <cfRule type="cellIs" dxfId="683" priority="2066" operator="equal">
      <formula>"Media"</formula>
    </cfRule>
    <cfRule type="cellIs" dxfId="682" priority="2067" operator="equal">
      <formula>"Baja"</formula>
    </cfRule>
    <cfRule type="cellIs" dxfId="681" priority="2068" operator="equal">
      <formula>"Muy Baja"</formula>
    </cfRule>
  </conditionalFormatting>
  <conditionalFormatting sqref="AM872:AN872">
    <cfRule type="cellIs" dxfId="680" priority="2052" operator="equal">
      <formula>"Muy Baja"</formula>
    </cfRule>
    <cfRule type="cellIs" dxfId="679" priority="2051" operator="equal">
      <formula>"Baja"</formula>
    </cfRule>
    <cfRule type="cellIs" dxfId="678" priority="2050" operator="equal">
      <formula>"Media"</formula>
    </cfRule>
    <cfRule type="cellIs" dxfId="677" priority="2049" operator="equal">
      <formula>"Alta"</formula>
    </cfRule>
    <cfRule type="cellIs" dxfId="676" priority="2048" operator="equal">
      <formula>"Muy Alta"</formula>
    </cfRule>
  </conditionalFormatting>
  <conditionalFormatting sqref="AM882:AN882">
    <cfRule type="cellIs" dxfId="661" priority="1470" operator="equal">
      <formula>"Media"</formula>
    </cfRule>
    <cfRule type="cellIs" dxfId="660" priority="1469" operator="equal">
      <formula>"Alta"</formula>
    </cfRule>
    <cfRule type="cellIs" dxfId="659" priority="1468" operator="equal">
      <formula>"Muy Alta"</formula>
    </cfRule>
    <cfRule type="cellIs" dxfId="650" priority="1471" operator="equal">
      <formula>"Baja"</formula>
    </cfRule>
    <cfRule type="cellIs" dxfId="649" priority="1472" operator="equal">
      <formula>"Muy Baja"</formula>
    </cfRule>
  </conditionalFormatting>
  <conditionalFormatting sqref="AM892:AN892">
    <cfRule type="cellIs" dxfId="641" priority="1456" operator="equal">
      <formula>"Muy Baja"</formula>
    </cfRule>
    <cfRule type="cellIs" dxfId="640" priority="1455" operator="equal">
      <formula>"Baja"</formula>
    </cfRule>
    <cfRule type="cellIs" dxfId="639" priority="1454" operator="equal">
      <formula>"Media"</formula>
    </cfRule>
    <cfRule type="cellIs" dxfId="637" priority="1453" operator="equal">
      <formula>"Alta"</formula>
    </cfRule>
    <cfRule type="cellIs" dxfId="636" priority="1452" operator="equal">
      <formula>"Muy Alta"</formula>
    </cfRule>
  </conditionalFormatting>
  <conditionalFormatting sqref="AM902:AN902">
    <cfRule type="cellIs" dxfId="624" priority="1436" operator="equal">
      <formula>"Muy Alta"</formula>
    </cfRule>
    <cfRule type="cellIs" dxfId="623" priority="1438" operator="equal">
      <formula>"Media"</formula>
    </cfRule>
    <cfRule type="cellIs" dxfId="622" priority="1439" operator="equal">
      <formula>"Baja"</formula>
    </cfRule>
    <cfRule type="cellIs" dxfId="621" priority="1440" operator="equal">
      <formula>"Muy Baja"</formula>
    </cfRule>
    <cfRule type="cellIs" dxfId="620" priority="1437" operator="equal">
      <formula>"Alta"</formula>
    </cfRule>
  </conditionalFormatting>
  <conditionalFormatting sqref="AM912:AN912">
    <cfRule type="cellIs" dxfId="609" priority="1424" operator="equal">
      <formula>"Muy Baja"</formula>
    </cfRule>
    <cfRule type="cellIs" dxfId="608" priority="1423" operator="equal">
      <formula>"Baja"</formula>
    </cfRule>
    <cfRule type="cellIs" dxfId="606" priority="1422" operator="equal">
      <formula>"Media"</formula>
    </cfRule>
    <cfRule type="cellIs" dxfId="605" priority="1421" operator="equal">
      <formula>"Alta"</formula>
    </cfRule>
    <cfRule type="cellIs" dxfId="604" priority="1420" operator="equal">
      <formula>"Muy Alta"</formula>
    </cfRule>
  </conditionalFormatting>
  <conditionalFormatting sqref="AM922:AN922">
    <cfRule type="cellIs" dxfId="599" priority="1408" operator="equal">
      <formula>"Muy Baja"</formula>
    </cfRule>
    <cfRule type="cellIs" dxfId="598" priority="1407" operator="equal">
      <formula>"Baja"</formula>
    </cfRule>
    <cfRule type="cellIs" dxfId="596" priority="1404" operator="equal">
      <formula>"Muy Alta"</formula>
    </cfRule>
    <cfRule type="cellIs" dxfId="595" priority="1406" operator="equal">
      <formula>"Media"</formula>
    </cfRule>
    <cfRule type="cellIs" dxfId="590" priority="1405" operator="equal">
      <formula>"Alta"</formula>
    </cfRule>
  </conditionalFormatting>
  <conditionalFormatting sqref="AM932:AN932">
    <cfRule type="cellIs" dxfId="584" priority="1389" operator="equal">
      <formula>"Alta"</formula>
    </cfRule>
    <cfRule type="cellIs" dxfId="579" priority="1392" operator="equal">
      <formula>"Muy Baja"</formula>
    </cfRule>
    <cfRule type="cellIs" dxfId="574" priority="1388" operator="equal">
      <formula>"Muy Alta"</formula>
    </cfRule>
    <cfRule type="cellIs" dxfId="570" priority="1390" operator="equal">
      <formula>"Media"</formula>
    </cfRule>
    <cfRule type="cellIs" dxfId="569" priority="1391" operator="equal">
      <formula>"Baja"</formula>
    </cfRule>
  </conditionalFormatting>
  <conditionalFormatting sqref="AM952:AN952">
    <cfRule type="cellIs" dxfId="567" priority="832" operator="equal">
      <formula>"Media"</formula>
    </cfRule>
    <cfRule type="cellIs" dxfId="566" priority="831" operator="equal">
      <formula>"Alta"</formula>
    </cfRule>
    <cfRule type="cellIs" dxfId="565" priority="830" operator="equal">
      <formula>"Muy Alta"</formula>
    </cfRule>
    <cfRule type="cellIs" dxfId="553" priority="834" operator="equal">
      <formula>"Muy Baja"</formula>
    </cfRule>
    <cfRule type="cellIs" dxfId="552" priority="833" operator="equal">
      <formula>"Baja"</formula>
    </cfRule>
  </conditionalFormatting>
  <conditionalFormatting sqref="AM962:AN962">
    <cfRule type="cellIs" dxfId="551" priority="679" operator="equal">
      <formula>"Baja"</formula>
    </cfRule>
    <cfRule type="cellIs" dxfId="550" priority="678" operator="equal">
      <formula>"Media"</formula>
    </cfRule>
    <cfRule type="cellIs" dxfId="549" priority="677" operator="equal">
      <formula>"Alta"</formula>
    </cfRule>
    <cfRule type="cellIs" dxfId="548" priority="676" operator="equal">
      <formula>"Muy Alta"</formula>
    </cfRule>
    <cfRule type="cellIs" dxfId="536" priority="680" operator="equal">
      <formula>"Muy Baja"</formula>
    </cfRule>
  </conditionalFormatting>
  <conditionalFormatting sqref="AM972:AN972">
    <cfRule type="cellIs" dxfId="530" priority="568" operator="equal">
      <formula>"Muy Baja"</formula>
    </cfRule>
    <cfRule type="cellIs" dxfId="529" priority="567" operator="equal">
      <formula>"Baja"</formula>
    </cfRule>
    <cfRule type="cellIs" dxfId="522" priority="564" operator="equal">
      <formula>"Muy Alta"</formula>
    </cfRule>
    <cfRule type="cellIs" dxfId="521" priority="565" operator="equal">
      <formula>"Alta"</formula>
    </cfRule>
    <cfRule type="cellIs" dxfId="520" priority="566" operator="equal">
      <formula>"Media"</formula>
    </cfRule>
  </conditionalFormatting>
  <conditionalFormatting sqref="AM982:AN982">
    <cfRule type="cellIs" dxfId="519" priority="548" operator="equal">
      <formula>"Muy Alta"</formula>
    </cfRule>
    <cfRule type="cellIs" dxfId="516" priority="552" operator="equal">
      <formula>"Muy Baja"</formula>
    </cfRule>
    <cfRule type="cellIs" dxfId="515" priority="551" operator="equal">
      <formula>"Baja"</formula>
    </cfRule>
    <cfRule type="cellIs" dxfId="514" priority="550" operator="equal">
      <formula>"Media"</formula>
    </cfRule>
    <cfRule type="cellIs" dxfId="513" priority="549" operator="equal">
      <formula>"Alta"</formula>
    </cfRule>
  </conditionalFormatting>
  <conditionalFormatting sqref="AM992:AN992">
    <cfRule type="cellIs" dxfId="502" priority="534" operator="equal">
      <formula>"Media"</formula>
    </cfRule>
    <cfRule type="cellIs" dxfId="492" priority="535" operator="equal">
      <formula>"Baja"</formula>
    </cfRule>
    <cfRule type="cellIs" dxfId="491" priority="536" operator="equal">
      <formula>"Muy Baja"</formula>
    </cfRule>
    <cfRule type="cellIs" dxfId="490" priority="532" operator="equal">
      <formula>"Muy Alta"</formula>
    </cfRule>
    <cfRule type="cellIs" dxfId="489" priority="533" operator="equal">
      <formula>"Alta"</formula>
    </cfRule>
  </conditionalFormatting>
  <conditionalFormatting sqref="AM1002:AN1002">
    <cfRule type="cellIs" dxfId="485" priority="272" operator="equal">
      <formula>"Muy Baja"</formula>
    </cfRule>
    <cfRule type="cellIs" dxfId="484" priority="271" operator="equal">
      <formula>"Baja"</formula>
    </cfRule>
    <cfRule type="cellIs" dxfId="483" priority="270" operator="equal">
      <formula>"Media"</formula>
    </cfRule>
    <cfRule type="cellIs" dxfId="482" priority="269" operator="equal">
      <formula>"Alta"</formula>
    </cfRule>
    <cfRule type="cellIs" dxfId="481" priority="268" operator="equal">
      <formula>"Muy Alta"</formula>
    </cfRule>
  </conditionalFormatting>
  <conditionalFormatting sqref="AM1012:AN1012">
    <cfRule type="cellIs" dxfId="468" priority="252" operator="equal">
      <formula>"Muy Alta"</formula>
    </cfRule>
    <cfRule type="cellIs" dxfId="462" priority="253" operator="equal">
      <formula>"Alta"</formula>
    </cfRule>
    <cfRule type="cellIs" dxfId="461" priority="254" operator="equal">
      <formula>"Media"</formula>
    </cfRule>
    <cfRule type="cellIs" dxfId="460" priority="255" operator="equal">
      <formula>"Baja"</formula>
    </cfRule>
    <cfRule type="cellIs" dxfId="459" priority="256" operator="equal">
      <formula>"Muy Baja"</formula>
    </cfRule>
  </conditionalFormatting>
  <conditionalFormatting sqref="AN12">
    <cfRule type="cellIs" dxfId="455" priority="10010" operator="equal">
      <formula>"Media"</formula>
    </cfRule>
    <cfRule type="cellIs" dxfId="454" priority="10011" operator="equal">
      <formula>"Baja"</formula>
    </cfRule>
    <cfRule type="cellIs" dxfId="453" priority="10012" operator="equal">
      <formula>"Muy Baja"</formula>
    </cfRule>
    <cfRule type="cellIs" dxfId="441" priority="10008" operator="equal">
      <formula>"Muy Alta"</formula>
    </cfRule>
    <cfRule type="cellIs" dxfId="440" priority="10009" operator="equal">
      <formula>"Alta"</formula>
    </cfRule>
  </conditionalFormatting>
  <conditionalFormatting sqref="AN32">
    <cfRule type="cellIs" dxfId="439" priority="9613" operator="equal">
      <formula>"Baja"</formula>
    </cfRule>
    <cfRule type="cellIs" dxfId="436" priority="9610" operator="equal">
      <formula>"Muy Alta"</formula>
    </cfRule>
    <cfRule type="cellIs" dxfId="435" priority="9611" operator="equal">
      <formula>"Alta"</formula>
    </cfRule>
    <cfRule type="cellIs" dxfId="434" priority="9612" operator="equal">
      <formula>"Media"</formula>
    </cfRule>
    <cfRule type="cellIs" dxfId="432" priority="9614" operator="equal">
      <formula>"Muy Baja"</formula>
    </cfRule>
  </conditionalFormatting>
  <conditionalFormatting sqref="AN72">
    <cfRule type="cellIs" dxfId="413" priority="9126" operator="equal">
      <formula>"Muy Baja"</formula>
    </cfRule>
    <cfRule type="cellIs" dxfId="412" priority="9125" operator="equal">
      <formula>"Baja"</formula>
    </cfRule>
    <cfRule type="cellIs" dxfId="411" priority="9124" operator="equal">
      <formula>"Media"</formula>
    </cfRule>
    <cfRule type="cellIs" dxfId="410" priority="9123" operator="equal">
      <formula>"Alta"</formula>
    </cfRule>
    <cfRule type="cellIs" dxfId="409" priority="9122" operator="equal">
      <formula>"Muy Alta"</formula>
    </cfRule>
  </conditionalFormatting>
  <conditionalFormatting sqref="AN122">
    <cfRule type="cellIs" dxfId="404" priority="8810" operator="equal">
      <formula>"Muy Alta"</formula>
    </cfRule>
    <cfRule type="cellIs" dxfId="397" priority="8811" operator="equal">
      <formula>"Alta"</formula>
    </cfRule>
    <cfRule type="cellIs" dxfId="396" priority="8812" operator="equal">
      <formula>"Media"</formula>
    </cfRule>
    <cfRule type="cellIs" dxfId="395" priority="8814" operator="equal">
      <formula>"Muy Baja"</formula>
    </cfRule>
    <cfRule type="cellIs" dxfId="392" priority="8813" operator="equal">
      <formula>"Baja"</formula>
    </cfRule>
  </conditionalFormatting>
  <conditionalFormatting sqref="AN152">
    <cfRule type="cellIs" dxfId="391" priority="8505" operator="equal">
      <formula>"Baja"</formula>
    </cfRule>
    <cfRule type="cellIs" dxfId="390" priority="8506" operator="equal">
      <formula>"Muy Baja"</formula>
    </cfRule>
    <cfRule type="cellIs" dxfId="378" priority="8502" operator="equal">
      <formula>"Muy Alta"</formula>
    </cfRule>
    <cfRule type="cellIs" dxfId="377" priority="8503" operator="equal">
      <formula>"Alta"</formula>
    </cfRule>
    <cfRule type="cellIs" dxfId="376" priority="8504" operator="equal">
      <formula>"Media"</formula>
    </cfRule>
  </conditionalFormatting>
  <conditionalFormatting sqref="AN182">
    <cfRule type="cellIs" dxfId="375" priority="8194" operator="equal">
      <formula>"Muy Alta"</formula>
    </cfRule>
    <cfRule type="cellIs" dxfId="368" priority="8195" operator="equal">
      <formula>"Alta"</formula>
    </cfRule>
    <cfRule type="cellIs" dxfId="367" priority="8196" operator="equal">
      <formula>"Media"</formula>
    </cfRule>
    <cfRule type="cellIs" dxfId="366" priority="8197" operator="equal">
      <formula>"Baja"</formula>
    </cfRule>
    <cfRule type="cellIs" dxfId="365" priority="8198" operator="equal">
      <formula>"Muy Baja"</formula>
    </cfRule>
  </conditionalFormatting>
  <conditionalFormatting sqref="AN212">
    <cfRule type="cellIs" dxfId="356" priority="7259" operator="equal">
      <formula>"Baja"</formula>
    </cfRule>
    <cfRule type="cellIs" dxfId="355" priority="7260" operator="equal">
      <formula>"Muy Baja"</formula>
    </cfRule>
    <cfRule type="cellIs" dxfId="354" priority="7256" operator="equal">
      <formula>"Muy Alta"</formula>
    </cfRule>
    <cfRule type="cellIs" dxfId="351" priority="7258" operator="equal">
      <formula>"Media"</formula>
    </cfRule>
    <cfRule type="cellIs" dxfId="344" priority="7257" operator="equal">
      <formula>"Alta"</formula>
    </cfRule>
  </conditionalFormatting>
  <conditionalFormatting sqref="AN322">
    <cfRule type="cellIs" dxfId="343" priority="6725" operator="equal">
      <formula>"Baja"</formula>
    </cfRule>
    <cfRule type="cellIs" dxfId="342" priority="6726" operator="equal">
      <formula>"Muy Baja"</formula>
    </cfRule>
    <cfRule type="cellIs" dxfId="339" priority="6722" operator="equal">
      <formula>"Muy Alta"</formula>
    </cfRule>
    <cfRule type="cellIs" dxfId="332" priority="6724" operator="equal">
      <formula>"Media"</formula>
    </cfRule>
    <cfRule type="cellIs" dxfId="331" priority="6723" operator="equal">
      <formula>"Alta"</formula>
    </cfRule>
  </conditionalFormatting>
  <conditionalFormatting sqref="AN362">
    <cfRule type="cellIs" dxfId="327" priority="6324" operator="equal">
      <formula>"Muy Alta"</formula>
    </cfRule>
    <cfRule type="cellIs" dxfId="326" priority="6328" operator="equal">
      <formula>"Muy Baja"</formula>
    </cfRule>
    <cfRule type="cellIs" dxfId="314" priority="6327" operator="equal">
      <formula>"Baja"</formula>
    </cfRule>
    <cfRule type="cellIs" dxfId="313" priority="6326" operator="equal">
      <formula>"Media"</formula>
    </cfRule>
    <cfRule type="cellIs" dxfId="312" priority="6325" operator="equal">
      <formula>"Alta"</formula>
    </cfRule>
  </conditionalFormatting>
  <conditionalFormatting sqref="AN402">
    <cfRule type="cellIs" dxfId="303" priority="6107" operator="equal">
      <formula>"Alta"</formula>
    </cfRule>
    <cfRule type="cellIs" dxfId="302" priority="6108" operator="equal">
      <formula>"Media"</formula>
    </cfRule>
    <cfRule type="cellIs" dxfId="301" priority="6109" operator="equal">
      <formula>"Baja"</formula>
    </cfRule>
    <cfRule type="cellIs" dxfId="300" priority="6110" operator="equal">
      <formula>"Muy Baja"</formula>
    </cfRule>
    <cfRule type="cellIs" dxfId="299" priority="6106" operator="equal">
      <formula>"Muy Alta"</formula>
    </cfRule>
  </conditionalFormatting>
  <conditionalFormatting sqref="AN422">
    <cfRule type="cellIs" dxfId="286" priority="5888" operator="equal">
      <formula>"Muy Alta"</formula>
    </cfRule>
    <cfRule type="cellIs" dxfId="285" priority="5889" operator="equal">
      <formula>"Alta"</formula>
    </cfRule>
    <cfRule type="cellIs" dxfId="282" priority="5890" operator="equal">
      <formula>"Media"</formula>
    </cfRule>
    <cfRule type="cellIs" dxfId="281" priority="5891" operator="equal">
      <formula>"Baja"</formula>
    </cfRule>
    <cfRule type="cellIs" dxfId="280" priority="5892" operator="equal">
      <formula>"Muy Baja"</formula>
    </cfRule>
  </conditionalFormatting>
  <conditionalFormatting sqref="AN532">
    <cfRule type="cellIs" dxfId="271" priority="4854" operator="equal">
      <formula>"Muy Alta"</formula>
    </cfRule>
    <cfRule type="cellIs" dxfId="270" priority="4857" operator="equal">
      <formula>"Baja"</formula>
    </cfRule>
    <cfRule type="cellIs" dxfId="269" priority="4856" operator="equal">
      <formula>"Media"</formula>
    </cfRule>
    <cfRule type="cellIs" dxfId="268" priority="4858" operator="equal">
      <formula>"Muy Baja"</formula>
    </cfRule>
    <cfRule type="cellIs" dxfId="266" priority="4855" operator="equal">
      <formula>"Alta"</formula>
    </cfRule>
  </conditionalFormatting>
  <conditionalFormatting sqref="AN622">
    <cfRule type="cellIs" dxfId="263" priority="3734" operator="equal">
      <formula>"Muy Alta"</formula>
    </cfRule>
    <cfRule type="cellIs" dxfId="251" priority="3735" operator="equal">
      <formula>"Alta"</formula>
    </cfRule>
    <cfRule type="cellIs" dxfId="250" priority="3736" operator="equal">
      <formula>"Media"</formula>
    </cfRule>
    <cfRule type="cellIs" dxfId="249" priority="3737" operator="equal">
      <formula>"Baja"</formula>
    </cfRule>
    <cfRule type="cellIs" dxfId="248" priority="3738" operator="equal">
      <formula>"Muy Baja"</formula>
    </cfRule>
  </conditionalFormatting>
  <conditionalFormatting sqref="AN942">
    <cfRule type="cellIs" dxfId="237" priority="724" operator="equal">
      <formula>"Muy Alta"</formula>
    </cfRule>
    <cfRule type="cellIs" dxfId="236" priority="725" operator="equal">
      <formula>"Alta"</formula>
    </cfRule>
    <cfRule type="cellIs" dxfId="235" priority="728" operator="equal">
      <formula>"Muy Baja"</formula>
    </cfRule>
    <cfRule type="cellIs" dxfId="234" priority="726" operator="equal">
      <formula>"Media"</formula>
    </cfRule>
    <cfRule type="cellIs" dxfId="233" priority="727" operator="equal">
      <formula>"Baja"</formula>
    </cfRule>
  </conditionalFormatting>
  <conditionalFormatting sqref="AO12:AP12 AO22:AP22">
    <cfRule type="expression" dxfId="231" priority="10198">
      <formula>AO12="Extrema"</formula>
    </cfRule>
    <cfRule type="expression" dxfId="230" priority="10199">
      <formula>AO12="Alta"</formula>
    </cfRule>
    <cfRule type="expression" dxfId="229" priority="10200">
      <formula>AO12="Moderada"</formula>
    </cfRule>
    <cfRule type="expression" dxfId="228" priority="10201">
      <formula>AO12="Baja"</formula>
    </cfRule>
  </conditionalFormatting>
  <conditionalFormatting sqref="AO32:AP32 AO42:AP42 AO52:AP52 AO62:AP62">
    <cfRule type="expression" dxfId="227" priority="9978">
      <formula>AO32="Extrema"</formula>
    </cfRule>
    <cfRule type="expression" dxfId="226" priority="9979">
      <formula>AO32="Alta"</formula>
    </cfRule>
    <cfRule type="expression" dxfId="225" priority="9980">
      <formula>AO32="Moderada"</formula>
    </cfRule>
    <cfRule type="expression" dxfId="224" priority="9981">
      <formula>AO32="Baja"</formula>
    </cfRule>
  </conditionalFormatting>
  <conditionalFormatting sqref="AO72:AP72 AO82:AP82 AO92:AP92 AO102:AP102">
    <cfRule type="expression" dxfId="223" priority="9583">
      <formula>AO72="Baja"</formula>
    </cfRule>
    <cfRule type="expression" dxfId="222" priority="9582">
      <formula>AO72="Moderada"</formula>
    </cfRule>
    <cfRule type="expression" dxfId="221" priority="9581">
      <formula>AO72="Alta"</formula>
    </cfRule>
    <cfRule type="expression" dxfId="220" priority="9580">
      <formula>AO72="Extrema"</formula>
    </cfRule>
  </conditionalFormatting>
  <conditionalFormatting sqref="AO112:AP112">
    <cfRule type="expression" dxfId="219" priority="9100">
      <formula>AO112="Baja"</formula>
    </cfRule>
    <cfRule type="expression" dxfId="218" priority="9099">
      <formula>AO112="Moderada"</formula>
    </cfRule>
    <cfRule type="expression" dxfId="217" priority="9098">
      <formula>AO112="Alta"</formula>
    </cfRule>
    <cfRule type="expression" dxfId="216" priority="9097">
      <formula>AO112="Extrema"</formula>
    </cfRule>
  </conditionalFormatting>
  <conditionalFormatting sqref="AO122:AP122 AO132:AP132 AO142:AP142">
    <cfRule type="expression" dxfId="215" priority="9090">
      <formula>AO122="Moderada"</formula>
    </cfRule>
    <cfRule type="expression" dxfId="214" priority="9089">
      <formula>AO122="Alta"</formula>
    </cfRule>
    <cfRule type="expression" dxfId="213" priority="9088">
      <formula>AO122="Extrema"</formula>
    </cfRule>
    <cfRule type="expression" dxfId="212" priority="9091">
      <formula>AO122="Baja"</formula>
    </cfRule>
  </conditionalFormatting>
  <conditionalFormatting sqref="AO152:AP152 AO162:AP162 AO172:AP172">
    <cfRule type="expression" dxfId="211" priority="8780">
      <formula>AO152="Extrema"</formula>
    </cfRule>
    <cfRule type="expression" dxfId="210" priority="8781">
      <formula>AO152="Alta"</formula>
    </cfRule>
    <cfRule type="expression" dxfId="209" priority="8782">
      <formula>AO152="Moderada"</formula>
    </cfRule>
    <cfRule type="expression" dxfId="208" priority="8783">
      <formula>AO152="Baja"</formula>
    </cfRule>
  </conditionalFormatting>
  <conditionalFormatting sqref="AO182:AP182 AO192:AP192 AO202:AP202">
    <cfRule type="expression" dxfId="207" priority="8475">
      <formula>AO182="Baja"</formula>
    </cfRule>
    <cfRule type="expression" dxfId="206" priority="8472">
      <formula>AO182="Extrema"</formula>
    </cfRule>
    <cfRule type="expression" dxfId="205" priority="8473">
      <formula>AO182="Alta"</formula>
    </cfRule>
    <cfRule type="expression" dxfId="204" priority="8474">
      <formula>AO182="Moderada"</formula>
    </cfRule>
  </conditionalFormatting>
  <conditionalFormatting sqref="AO212:AP212 AO222:AP222 AO232:AP232 AO242:AP242">
    <cfRule type="expression" dxfId="203" priority="8164">
      <formula>AO212="Extrema"</formula>
    </cfRule>
    <cfRule type="expression" dxfId="202" priority="8165">
      <formula>AO212="Alta"</formula>
    </cfRule>
    <cfRule type="expression" dxfId="201" priority="8166">
      <formula>AO212="Moderada"</formula>
    </cfRule>
    <cfRule type="expression" dxfId="200" priority="8167">
      <formula>AO212="Baja"</formula>
    </cfRule>
  </conditionalFormatting>
  <conditionalFormatting sqref="AO252:AP252">
    <cfRule type="expression" dxfId="199" priority="7234">
      <formula>AO252="Baja"</formula>
    </cfRule>
    <cfRule type="expression" dxfId="198" priority="7232">
      <formula>AO252="Alta"</formula>
    </cfRule>
    <cfRule type="expression" dxfId="197" priority="7231">
      <formula>AO252="Extrema"</formula>
    </cfRule>
    <cfRule type="expression" dxfId="196" priority="7233">
      <formula>AO252="Moderada"</formula>
    </cfRule>
  </conditionalFormatting>
  <conditionalFormatting sqref="AO262:AP262">
    <cfRule type="expression" dxfId="195" priority="7230">
      <formula>AO262="Baja"</formula>
    </cfRule>
    <cfRule type="expression" dxfId="194" priority="7229">
      <formula>AO262="Moderada"</formula>
    </cfRule>
    <cfRule type="expression" dxfId="193" priority="7228">
      <formula>AO262="Alta"</formula>
    </cfRule>
    <cfRule type="expression" dxfId="192" priority="7227">
      <formula>AO262="Extrema"</formula>
    </cfRule>
  </conditionalFormatting>
  <conditionalFormatting sqref="AO272:AP272">
    <cfRule type="expression" dxfId="191" priority="7226">
      <formula>AO272="Baja"</formula>
    </cfRule>
    <cfRule type="expression" dxfId="190" priority="7225">
      <formula>AO272="Moderada"</formula>
    </cfRule>
    <cfRule type="expression" dxfId="189" priority="7224">
      <formula>AO272="Alta"</formula>
    </cfRule>
    <cfRule type="expression" dxfId="188" priority="7223">
      <formula>AO272="Extrema"</formula>
    </cfRule>
  </conditionalFormatting>
  <conditionalFormatting sqref="AO282:AP282">
    <cfRule type="expression" dxfId="187" priority="7222">
      <formula>AO282="Baja"</formula>
    </cfRule>
    <cfRule type="expression" dxfId="186" priority="7221">
      <formula>AO282="Moderada"</formula>
    </cfRule>
    <cfRule type="expression" dxfId="185" priority="7220">
      <formula>AO282="Alta"</formula>
    </cfRule>
    <cfRule type="expression" dxfId="184" priority="7219">
      <formula>AO282="Extrema"</formula>
    </cfRule>
  </conditionalFormatting>
  <conditionalFormatting sqref="AO292:AP292">
    <cfRule type="expression" dxfId="183" priority="7217">
      <formula>AO292="Moderada"</formula>
    </cfRule>
    <cfRule type="expression" dxfId="182" priority="7216">
      <formula>AO292="Alta"</formula>
    </cfRule>
    <cfRule type="expression" dxfId="181" priority="7215">
      <formula>AO292="Extrema"</formula>
    </cfRule>
    <cfRule type="expression" dxfId="180" priority="7218">
      <formula>AO292="Baja"</formula>
    </cfRule>
  </conditionalFormatting>
  <conditionalFormatting sqref="AO302:AP302">
    <cfRule type="expression" dxfId="179" priority="7214">
      <formula>AO302="Baja"</formula>
    </cfRule>
    <cfRule type="expression" dxfId="178" priority="7213">
      <formula>AO302="Moderada"</formula>
    </cfRule>
    <cfRule type="expression" dxfId="177" priority="7212">
      <formula>AO302="Alta"</formula>
    </cfRule>
    <cfRule type="expression" dxfId="176" priority="7211">
      <formula>AO302="Extrema"</formula>
    </cfRule>
  </conditionalFormatting>
  <conditionalFormatting sqref="AO312:AP312">
    <cfRule type="expression" dxfId="175" priority="7101">
      <formula>AO312="Moderada"</formula>
    </cfRule>
    <cfRule type="expression" dxfId="174" priority="7099">
      <formula>AO312="Extrema"</formula>
    </cfRule>
    <cfRule type="expression" dxfId="173" priority="7102">
      <formula>AO312="Baja"</formula>
    </cfRule>
    <cfRule type="expression" dxfId="172" priority="7100">
      <formula>AO312="Alta"</formula>
    </cfRule>
  </conditionalFormatting>
  <conditionalFormatting sqref="AO322:AP322 AO332:AP332 AO342:AP342 AO352:AP352">
    <cfRule type="expression" dxfId="171" priority="7093">
      <formula>AO322="Baja"</formula>
    </cfRule>
    <cfRule type="expression" dxfId="170" priority="7092">
      <formula>AO322="Moderada"</formula>
    </cfRule>
    <cfRule type="expression" dxfId="169" priority="7090">
      <formula>AO322="Extrema"</formula>
    </cfRule>
    <cfRule type="expression" dxfId="168" priority="7091">
      <formula>AO322="Alta"</formula>
    </cfRule>
  </conditionalFormatting>
  <conditionalFormatting sqref="AO362:AP362 AO372:AP372 AO382:AP382 AO392:AP392">
    <cfRule type="expression" dxfId="167" priority="6692">
      <formula>AO362="Extrema"</formula>
    </cfRule>
    <cfRule type="expression" dxfId="166" priority="6694">
      <formula>AO362="Moderada"</formula>
    </cfRule>
    <cfRule type="expression" dxfId="165" priority="6695">
      <formula>AO362="Baja"</formula>
    </cfRule>
    <cfRule type="expression" dxfId="164" priority="6693">
      <formula>AO362="Alta"</formula>
    </cfRule>
  </conditionalFormatting>
  <conditionalFormatting sqref="AO402:AP402 AO412:AP412">
    <cfRule type="expression" dxfId="163" priority="6294">
      <formula>AO402="Extrema"</formula>
    </cfRule>
    <cfRule type="expression" dxfId="162" priority="6297">
      <formula>AO402="Baja"</formula>
    </cfRule>
    <cfRule type="expression" dxfId="161" priority="6296">
      <formula>AO402="Moderada"</formula>
    </cfRule>
    <cfRule type="expression" dxfId="160" priority="6295">
      <formula>AO402="Alta"</formula>
    </cfRule>
  </conditionalFormatting>
  <conditionalFormatting sqref="AO422:AP422 AO432:AP432">
    <cfRule type="expression" dxfId="159" priority="6077">
      <formula>AO422="Alta"</formula>
    </cfRule>
    <cfRule type="expression" dxfId="158" priority="6079">
      <formula>AO422="Baja"</formula>
    </cfRule>
    <cfRule type="expression" dxfId="157" priority="6078">
      <formula>AO422="Moderada"</formula>
    </cfRule>
    <cfRule type="expression" dxfId="156" priority="6076">
      <formula>AO422="Extrema"</formula>
    </cfRule>
  </conditionalFormatting>
  <conditionalFormatting sqref="AO442:AP442 AO452:AP452 AO462:AP462">
    <cfRule type="expression" dxfId="155" priority="5861">
      <formula>AO442="Baja"</formula>
    </cfRule>
    <cfRule type="expression" dxfId="154" priority="5860">
      <formula>AO442="Moderada"</formula>
    </cfRule>
    <cfRule type="expression" dxfId="153" priority="5859">
      <formula>AO442="Alta"</formula>
    </cfRule>
    <cfRule type="expression" dxfId="152" priority="5858">
      <formula>AO442="Extrema"</formula>
    </cfRule>
  </conditionalFormatting>
  <conditionalFormatting sqref="AO472:AP472">
    <cfRule type="expression" dxfId="151" priority="5354">
      <formula>AO472="Baja"</formula>
    </cfRule>
    <cfRule type="expression" dxfId="150" priority="5351">
      <formula>AO472="Extrema"</formula>
    </cfRule>
    <cfRule type="expression" dxfId="149" priority="5352">
      <formula>AO472="Alta"</formula>
    </cfRule>
    <cfRule type="expression" dxfId="148" priority="5353">
      <formula>AO472="Moderada"</formula>
    </cfRule>
  </conditionalFormatting>
  <conditionalFormatting sqref="AO482:AP482">
    <cfRule type="expression" dxfId="147" priority="5347">
      <formula>AO482="Extrema"</formula>
    </cfRule>
    <cfRule type="expression" dxfId="146" priority="5348">
      <formula>AO482="Alta"</formula>
    </cfRule>
    <cfRule type="expression" dxfId="145" priority="5349">
      <formula>AO482="Moderada"</formula>
    </cfRule>
    <cfRule type="expression" dxfId="144" priority="5350">
      <formula>AO482="Baja"</formula>
    </cfRule>
  </conditionalFormatting>
  <conditionalFormatting sqref="AO492:AP492">
    <cfRule type="expression" dxfId="143" priority="5343">
      <formula>AO492="Extrema"</formula>
    </cfRule>
    <cfRule type="expression" dxfId="142" priority="5344">
      <formula>AO492="Alta"</formula>
    </cfRule>
    <cfRule type="expression" dxfId="141" priority="5346">
      <formula>AO492="Baja"</formula>
    </cfRule>
    <cfRule type="expression" dxfId="140" priority="5345">
      <formula>AO492="Moderada"</formula>
    </cfRule>
  </conditionalFormatting>
  <conditionalFormatting sqref="AO502:AP502 AO512:AP512 AO522:AP522">
    <cfRule type="expression" dxfId="139" priority="5335">
      <formula>AO502="Alta"</formula>
    </cfRule>
    <cfRule type="expression" dxfId="138" priority="5337">
      <formula>AO502="Baja"</formula>
    </cfRule>
    <cfRule type="expression" dxfId="137" priority="5336">
      <formula>AO502="Moderada"</formula>
    </cfRule>
    <cfRule type="expression" dxfId="136" priority="5334">
      <formula>AO502="Extrema"</formula>
    </cfRule>
  </conditionalFormatting>
  <conditionalFormatting sqref="AO532:AP532 AO542:AP542">
    <cfRule type="expression" dxfId="135" priority="5045">
      <formula>AO532="Baja"</formula>
    </cfRule>
    <cfRule type="expression" dxfId="134" priority="5042">
      <formula>AO532="Extrema"</formula>
    </cfRule>
    <cfRule type="expression" dxfId="133" priority="5043">
      <formula>AO532="Alta"</formula>
    </cfRule>
    <cfRule type="expression" dxfId="132" priority="5044">
      <formula>AO532="Moderada"</formula>
    </cfRule>
  </conditionalFormatting>
  <conditionalFormatting sqref="AO552:AP552">
    <cfRule type="expression" dxfId="131" priority="4826">
      <formula>AO552="Moderada"</formula>
    </cfRule>
    <cfRule type="expression" dxfId="130" priority="4825">
      <formula>AO552="Alta"</formula>
    </cfRule>
    <cfRule type="expression" dxfId="129" priority="4824">
      <formula>AO552="Extrema"</formula>
    </cfRule>
    <cfRule type="expression" dxfId="128" priority="4827">
      <formula>AO552="Baja"</formula>
    </cfRule>
  </conditionalFormatting>
  <conditionalFormatting sqref="AO562:AP562 AO572:AP572">
    <cfRule type="expression" dxfId="127" priority="4715">
      <formula>AO562="Baja"</formula>
    </cfRule>
    <cfRule type="expression" dxfId="126" priority="4714">
      <formula>AO562="Moderada"</formula>
    </cfRule>
    <cfRule type="expression" dxfId="125" priority="4713">
      <formula>AO562="Alta"</formula>
    </cfRule>
    <cfRule type="expression" dxfId="124" priority="4712">
      <formula>AO562="Extrema"</formula>
    </cfRule>
  </conditionalFormatting>
  <conditionalFormatting sqref="AO582:AP582 AO592:AP592 AO602:AP602">
    <cfRule type="expression" dxfId="123" priority="4513">
      <formula>AO582="Baja"</formula>
    </cfRule>
    <cfRule type="expression" dxfId="122" priority="4512">
      <formula>AO582="Moderada"</formula>
    </cfRule>
    <cfRule type="expression" dxfId="121" priority="4511">
      <formula>AO582="Alta"</formula>
    </cfRule>
    <cfRule type="expression" dxfId="120" priority="4510">
      <formula>AO582="Extrema"</formula>
    </cfRule>
  </conditionalFormatting>
  <conditionalFormatting sqref="AO612:AP612">
    <cfRule type="expression" dxfId="119" priority="4021">
      <formula>AO612="Extrema"</formula>
    </cfRule>
    <cfRule type="expression" dxfId="118" priority="4022">
      <formula>AO612="Alta"</formula>
    </cfRule>
    <cfRule type="expression" dxfId="117" priority="4024">
      <formula>AO612="Baja"</formula>
    </cfRule>
    <cfRule type="expression" dxfId="116" priority="4023">
      <formula>AO612="Moderada"</formula>
    </cfRule>
  </conditionalFormatting>
  <conditionalFormatting sqref="AO622:AP622 AO632:AP632 AO642:AP642">
    <cfRule type="expression" dxfId="115" priority="4015">
      <formula>AO622="Baja"</formula>
    </cfRule>
    <cfRule type="expression" dxfId="114" priority="4014">
      <formula>AO622="Moderada"</formula>
    </cfRule>
    <cfRule type="expression" dxfId="113" priority="4013">
      <formula>AO622="Alta"</formula>
    </cfRule>
    <cfRule type="expression" dxfId="112" priority="4012">
      <formula>AO622="Extrema"</formula>
    </cfRule>
  </conditionalFormatting>
  <conditionalFormatting sqref="AO652:AP652">
    <cfRule type="expression" dxfId="111" priority="3604">
      <formula>AO652="Baja"</formula>
    </cfRule>
    <cfRule type="expression" dxfId="110" priority="3603">
      <formula>AO652="Moderada"</formula>
    </cfRule>
    <cfRule type="expression" dxfId="109" priority="3602">
      <formula>AO652="Alta"</formula>
    </cfRule>
    <cfRule type="expression" dxfId="108" priority="3601">
      <formula>AO652="Extrema"</formula>
    </cfRule>
  </conditionalFormatting>
  <conditionalFormatting sqref="AO662:AP662 AO672:AP672 AO682:AP682">
    <cfRule type="expression" dxfId="107" priority="3595">
      <formula>AO662="Baja"</formula>
    </cfRule>
    <cfRule type="expression" dxfId="106" priority="3593">
      <formula>AO662="Alta"</formula>
    </cfRule>
    <cfRule type="expression" dxfId="105" priority="3592">
      <formula>AO662="Extrema"</formula>
    </cfRule>
    <cfRule type="expression" dxfId="104" priority="3594">
      <formula>AO662="Moderada"</formula>
    </cfRule>
  </conditionalFormatting>
  <conditionalFormatting sqref="AO692:AP692">
    <cfRule type="expression" dxfId="103" priority="3036">
      <formula>AO692="Alta"</formula>
    </cfRule>
    <cfRule type="expression" dxfId="102" priority="3037">
      <formula>AO692="Moderada"</formula>
    </cfRule>
    <cfRule type="expression" dxfId="101" priority="3038">
      <formula>AO692="Baja"</formula>
    </cfRule>
    <cfRule type="expression" dxfId="100" priority="3035">
      <formula>AO692="Extrema"</formula>
    </cfRule>
  </conditionalFormatting>
  <conditionalFormatting sqref="AO702:AP702">
    <cfRule type="expression" dxfId="99" priority="3031">
      <formula>AO702="Extrema"</formula>
    </cfRule>
    <cfRule type="expression" dxfId="98" priority="3032">
      <formula>AO702="Alta"</formula>
    </cfRule>
    <cfRule type="expression" dxfId="97" priority="3033">
      <formula>AO702="Moderada"</formula>
    </cfRule>
    <cfRule type="expression" dxfId="96" priority="3034">
      <formula>AO702="Baja"</formula>
    </cfRule>
  </conditionalFormatting>
  <conditionalFormatting sqref="AO712:AP712">
    <cfRule type="expression" dxfId="95" priority="3030">
      <formula>AO712="Baja"</formula>
    </cfRule>
    <cfRule type="expression" dxfId="94" priority="3029">
      <formula>AO712="Moderada"</formula>
    </cfRule>
    <cfRule type="expression" dxfId="93" priority="3027">
      <formula>AO712="Extrema"</formula>
    </cfRule>
    <cfRule type="expression" dxfId="92" priority="3028">
      <formula>AO712="Alta"</formula>
    </cfRule>
  </conditionalFormatting>
  <conditionalFormatting sqref="AO722:AP722 AO732:AP732 AO742:AP742">
    <cfRule type="expression" dxfId="91" priority="3018">
      <formula>AO722="Extrema"</formula>
    </cfRule>
    <cfRule type="expression" dxfId="90" priority="3020">
      <formula>AO722="Moderada"</formula>
    </cfRule>
    <cfRule type="expression" dxfId="89" priority="3019">
      <formula>AO722="Alta"</formula>
    </cfRule>
    <cfRule type="expression" dxfId="88" priority="3021">
      <formula>AO722="Baja"</formula>
    </cfRule>
  </conditionalFormatting>
  <conditionalFormatting sqref="AO752:AP752">
    <cfRule type="expression" dxfId="87" priority="2191">
      <formula>AO752="Extrema"</formula>
    </cfRule>
    <cfRule type="expression" dxfId="86" priority="2194">
      <formula>AO752="Baja"</formula>
    </cfRule>
    <cfRule type="expression" dxfId="85" priority="2193">
      <formula>AO752="Moderada"</formula>
    </cfRule>
    <cfRule type="expression" dxfId="84" priority="2192">
      <formula>AO752="Alta"</formula>
    </cfRule>
  </conditionalFormatting>
  <conditionalFormatting sqref="AO762:AP762">
    <cfRule type="expression" dxfId="83" priority="2188">
      <formula>AO762="Alta"</formula>
    </cfRule>
    <cfRule type="expression" dxfId="82" priority="2187">
      <formula>AO762="Extrema"</formula>
    </cfRule>
    <cfRule type="expression" dxfId="81" priority="2189">
      <formula>AO762="Moderada"</formula>
    </cfRule>
    <cfRule type="expression" dxfId="80" priority="2190">
      <formula>AO762="Baja"</formula>
    </cfRule>
  </conditionalFormatting>
  <conditionalFormatting sqref="AO772:AP772">
    <cfRule type="expression" dxfId="79" priority="2186">
      <formula>AO772="Baja"</formula>
    </cfRule>
    <cfRule type="expression" dxfId="78" priority="2185">
      <formula>AO772="Moderada"</formula>
    </cfRule>
    <cfRule type="expression" dxfId="77" priority="2184">
      <formula>AO772="Alta"</formula>
    </cfRule>
    <cfRule type="expression" dxfId="76" priority="2183">
      <formula>AO772="Extrema"</formula>
    </cfRule>
  </conditionalFormatting>
  <conditionalFormatting sqref="AO782:AP782">
    <cfRule type="expression" dxfId="75" priority="2182">
      <formula>AO782="Baja"</formula>
    </cfRule>
    <cfRule type="expression" dxfId="74" priority="2181">
      <formula>AO782="Moderada"</formula>
    </cfRule>
    <cfRule type="expression" dxfId="73" priority="2180">
      <formula>AO782="Alta"</formula>
    </cfRule>
    <cfRule type="expression" dxfId="72" priority="2179">
      <formula>AO782="Extrema"</formula>
    </cfRule>
  </conditionalFormatting>
  <conditionalFormatting sqref="AO792:AP792">
    <cfRule type="expression" dxfId="71" priority="2178">
      <formula>AO792="Baja"</formula>
    </cfRule>
    <cfRule type="expression" dxfId="70" priority="2175">
      <formula>AO792="Extrema"</formula>
    </cfRule>
    <cfRule type="expression" dxfId="69" priority="2176">
      <formula>AO792="Alta"</formula>
    </cfRule>
    <cfRule type="expression" dxfId="68" priority="2177">
      <formula>AO792="Moderada"</formula>
    </cfRule>
  </conditionalFormatting>
  <conditionalFormatting sqref="AO802:AP802">
    <cfRule type="expression" dxfId="67" priority="2171">
      <formula>AO802="Extrema"</formula>
    </cfRule>
    <cfRule type="expression" dxfId="66" priority="2172">
      <formula>AO802="Alta"</formula>
    </cfRule>
    <cfRule type="expression" dxfId="65" priority="2173">
      <formula>AO802="Moderada"</formula>
    </cfRule>
    <cfRule type="expression" dxfId="64" priority="2174">
      <formula>AO802="Baja"</formula>
    </cfRule>
  </conditionalFormatting>
  <conditionalFormatting sqref="AO812:AP812">
    <cfRule type="expression" dxfId="63" priority="2163">
      <formula>AO812="Alta"</formula>
    </cfRule>
    <cfRule type="expression" dxfId="62" priority="2164">
      <formula>AO812="Moderada"</formula>
    </cfRule>
    <cfRule type="expression" dxfId="61" priority="2165">
      <formula>AO812="Baja"</formula>
    </cfRule>
    <cfRule type="expression" dxfId="60" priority="2162">
      <formula>AO812="Extrema"</formula>
    </cfRule>
  </conditionalFormatting>
  <conditionalFormatting sqref="AO822:AP822">
    <cfRule type="expression" dxfId="59" priority="1518">
      <formula>AO822="Baja"</formula>
    </cfRule>
    <cfRule type="expression" dxfId="58" priority="1515">
      <formula>AO822="Extrema"</formula>
    </cfRule>
    <cfRule type="expression" dxfId="57" priority="1516">
      <formula>AO822="Alta"</formula>
    </cfRule>
    <cfRule type="expression" dxfId="56" priority="1517">
      <formula>AO822="Moderada"</formula>
    </cfRule>
  </conditionalFormatting>
  <conditionalFormatting sqref="AO832:AP832">
    <cfRule type="expression" dxfId="55" priority="1511">
      <formula>AO832="Extrema"</formula>
    </cfRule>
    <cfRule type="expression" dxfId="54" priority="1512">
      <formula>AO832="Alta"</formula>
    </cfRule>
    <cfRule type="expression" dxfId="53" priority="1513">
      <formula>AO832="Moderada"</formula>
    </cfRule>
    <cfRule type="expression" dxfId="52" priority="1514">
      <formula>AO832="Baja"</formula>
    </cfRule>
  </conditionalFormatting>
  <conditionalFormatting sqref="AO842:AP842">
    <cfRule type="expression" dxfId="51" priority="1507">
      <formula>AO842="Extrema"</formula>
    </cfRule>
    <cfRule type="expression" dxfId="50" priority="1508">
      <formula>AO842="Alta"</formula>
    </cfRule>
    <cfRule type="expression" dxfId="49" priority="1509">
      <formula>AO842="Moderada"</formula>
    </cfRule>
    <cfRule type="expression" dxfId="48" priority="1510">
      <formula>AO842="Baja"</formula>
    </cfRule>
  </conditionalFormatting>
  <conditionalFormatting sqref="AO852:AP852">
    <cfRule type="expression" dxfId="47" priority="1505">
      <formula>AO852="Moderada"</formula>
    </cfRule>
    <cfRule type="expression" dxfId="46" priority="1504">
      <formula>AO852="Alta"</formula>
    </cfRule>
    <cfRule type="expression" dxfId="45" priority="1503">
      <formula>AO852="Extrema"</formula>
    </cfRule>
    <cfRule type="expression" dxfId="44" priority="1506">
      <formula>AO852="Baja"</formula>
    </cfRule>
  </conditionalFormatting>
  <conditionalFormatting sqref="AO862:AP862">
    <cfRule type="expression" dxfId="43" priority="1502">
      <formula>AO862="Baja"</formula>
    </cfRule>
    <cfRule type="expression" dxfId="42" priority="1501">
      <formula>AO862="Moderada"</formula>
    </cfRule>
    <cfRule type="expression" dxfId="41" priority="1500">
      <formula>AO862="Alta"</formula>
    </cfRule>
    <cfRule type="expression" dxfId="40" priority="1499">
      <formula>AO862="Extrema"</formula>
    </cfRule>
  </conditionalFormatting>
  <conditionalFormatting sqref="AO872:AP872">
    <cfRule type="expression" dxfId="39" priority="1496">
      <formula>AO872="Alta"</formula>
    </cfRule>
    <cfRule type="expression" dxfId="38" priority="1495">
      <formula>AO872="Extrema"</formula>
    </cfRule>
    <cfRule type="expression" dxfId="37" priority="1497">
      <formula>AO872="Moderada"</formula>
    </cfRule>
    <cfRule type="expression" dxfId="36" priority="1498">
      <formula>AO872="Baja"</formula>
    </cfRule>
  </conditionalFormatting>
  <conditionalFormatting sqref="AO882:AP882 AO892:AP892 AO902:AP902">
    <cfRule type="expression" dxfId="35" priority="1486">
      <formula>AO882="Extrema"</formula>
    </cfRule>
    <cfRule type="expression" dxfId="34" priority="1488">
      <formula>AO882="Moderada"</formula>
    </cfRule>
    <cfRule type="expression" dxfId="33" priority="1487">
      <formula>AO882="Alta"</formula>
    </cfRule>
    <cfRule type="expression" dxfId="32" priority="1489">
      <formula>AO882="Baja"</formula>
    </cfRule>
  </conditionalFormatting>
  <conditionalFormatting sqref="AO912:AP912">
    <cfRule type="expression" dxfId="31" priority="932">
      <formula>AO912="Baja"</formula>
    </cfRule>
    <cfRule type="expression" dxfId="30" priority="931">
      <formula>AO912="Moderada"</formula>
    </cfRule>
    <cfRule type="expression" dxfId="29" priority="930">
      <formula>AO912="Alta"</formula>
    </cfRule>
    <cfRule type="expression" dxfId="28" priority="929">
      <formula>AO912="Extrema"</formula>
    </cfRule>
  </conditionalFormatting>
  <conditionalFormatting sqref="AO922:AP922">
    <cfRule type="expression" dxfId="27" priority="926">
      <formula>AO922="Alta"</formula>
    </cfRule>
    <cfRule type="expression" dxfId="26" priority="927">
      <formula>AO922="Moderada"</formula>
    </cfRule>
    <cfRule type="expression" dxfId="25" priority="928">
      <formula>AO922="Baja"</formula>
    </cfRule>
    <cfRule type="expression" dxfId="24" priority="925">
      <formula>AO922="Extrema"</formula>
    </cfRule>
  </conditionalFormatting>
  <conditionalFormatting sqref="AO932:AP932">
    <cfRule type="expression" dxfId="23" priority="922">
      <formula>AO932="Alta"</formula>
    </cfRule>
    <cfRule type="expression" dxfId="22" priority="924">
      <formula>AO932="Baja"</formula>
    </cfRule>
    <cfRule type="expression" dxfId="21" priority="923">
      <formula>AO932="Moderada"</formula>
    </cfRule>
    <cfRule type="expression" dxfId="20" priority="921">
      <formula>AO932="Extrema"</formula>
    </cfRule>
  </conditionalFormatting>
  <conditionalFormatting sqref="AO942:AP942 AO952:AP952">
    <cfRule type="expression" dxfId="19" priority="912">
      <formula>AO942="Extrema"</formula>
    </cfRule>
    <cfRule type="expression" dxfId="18" priority="915">
      <formula>AO942="Baja"</formula>
    </cfRule>
    <cfRule type="expression" dxfId="17" priority="914">
      <formula>AO942="Moderada"</formula>
    </cfRule>
    <cfRule type="expression" dxfId="16" priority="913">
      <formula>AO942="Alta"</formula>
    </cfRule>
  </conditionalFormatting>
  <conditionalFormatting sqref="AO962:AP962">
    <cfRule type="expression" dxfId="15" priority="696">
      <formula>AO962="Moderada"</formula>
    </cfRule>
    <cfRule type="expression" dxfId="14" priority="697">
      <formula>AO962="Baja"</formula>
    </cfRule>
    <cfRule type="expression" dxfId="13" priority="695">
      <formula>AO962="Alta"</formula>
    </cfRule>
    <cfRule type="expression" dxfId="12" priority="694">
      <formula>AO962="Extrema"</formula>
    </cfRule>
  </conditionalFormatting>
  <conditionalFormatting sqref="AO972:AP972 AO982:AP982">
    <cfRule type="expression" dxfId="11" priority="584">
      <formula>AO972="Moderada"</formula>
    </cfRule>
    <cfRule type="expression" dxfId="10" priority="585">
      <formula>AO972="Baja"</formula>
    </cfRule>
    <cfRule type="expression" dxfId="9" priority="582">
      <formula>AO972="Extrema"</formula>
    </cfRule>
    <cfRule type="expression" dxfId="8" priority="583">
      <formula>AO972="Alta"</formula>
    </cfRule>
  </conditionalFormatting>
  <conditionalFormatting sqref="AO992:AP992">
    <cfRule type="expression" dxfId="7" priority="296">
      <formula>AO992="Alta"</formula>
    </cfRule>
    <cfRule type="expression" dxfId="6" priority="295">
      <formula>AO992="Extrema"</formula>
    </cfRule>
    <cfRule type="expression" dxfId="5" priority="298">
      <formula>AO992="Baja"</formula>
    </cfRule>
    <cfRule type="expression" dxfId="4" priority="297">
      <formula>AO992="Moderada"</formula>
    </cfRule>
  </conditionalFormatting>
  <conditionalFormatting sqref="AO1002:AP1002 AO1012:AP1012">
    <cfRule type="expression" dxfId="3" priority="287">
      <formula>AO1002="Alta"</formula>
    </cfRule>
    <cfRule type="expression" dxfId="2" priority="288">
      <formula>AO1002="Moderada"</formula>
    </cfRule>
    <cfRule type="expression" dxfId="1" priority="286">
      <formula>AO1002="Extrema"</formula>
    </cfRule>
    <cfRule type="expression" dxfId="0" priority="289">
      <formula>AO1002="Baja"</formula>
    </cfRule>
  </conditionalFormatting>
  <dataValidations xWindow="358" yWindow="228" count="52">
    <dataValidation type="whole" allowBlank="1" showInputMessage="1" showErrorMessage="1" prompt="Determine el número de veces que se pasa por el punto de riesgo en el periodo de un año._x000a_" sqref="M10" xr:uid="{00000000-0002-0000-0400-000000000000}">
      <formula1>1</formula1>
      <formula2>10000</formula2>
    </dataValidation>
    <dataValidation allowBlank="1" showInputMessage="1" showErrorMessage="1" promptTitle="Tipo de riesgo" prompt="Selecciones de la lista desplegable el tipo de riesgo._x000a_" sqref="E10" xr:uid="{00000000-0002-0000-0400-000002000000}"/>
    <dataValidation allowBlank="1" showInputMessage="1" showErrorMessage="1" promptTitle="Causa inmediata" prompt="Circunstancias o situaciones más evidentes sobre las cuales se presenta el riesgo. Debe preguntarse el ¿Cómo?" sqref="G10:G11" xr:uid="{00000000-0002-0000-0400-000004000000}"/>
    <dataValidation allowBlank="1" showInputMessage="1" showErrorMessage="1" promptTitle="Causa raíz" prompt="Es la causa principal o básica, corresponde a las razones por las cuales se puede presentar el riesgo. Debe preguntarse el ¿Por qué?_x000a_" sqref="H10:H11" xr:uid="{00000000-0002-0000-0400-000005000000}"/>
    <dataValidation allowBlank="1" showInputMessage="1" showErrorMessage="1" promptTitle="Clasificación del riesgo" prompt="Seleccione de la lista desplegable la categoria del riesgo correspondiente._x000a_" sqref="I10:I11" xr:uid="{00000000-0002-0000-0400-000007000000}"/>
    <dataValidation allowBlank="1" showInputMessage="1" showErrorMessage="1" promptTitle="Factores de riesgo" prompt="Seleccione de la lista desplegable el factor de riesgo correspondiente. " sqref="J10" xr:uid="{00000000-0002-0000-0400-000008000000}"/>
    <dataValidation allowBlank="1" showInputMessage="1" showErrorMessage="1" promptTitle="Nivel de probabilidad inherente" prompt="Se define el nivel de probabilidad de acuerdo con la frecuencia de la actividad." sqref="N10:N11" xr:uid="{00000000-0002-0000-0400-000009000000}"/>
    <dataValidation allowBlank="1" showInputMessage="1" showErrorMessage="1" promptTitle="Valoración porcentual" prompt="Se genera la valoración porcentual de la probabilidad inherente." sqref="O10:O11" xr:uid="{00000000-0002-0000-0400-00000A000000}"/>
    <dataValidation allowBlank="1" showInputMessage="1" showErrorMessage="1" promptTitle="Criterios de impacto" prompt="Seleccione de la lista desplegable la afectación económica o reputacional si se materializa el riesgo." sqref="P10" xr:uid="{00000000-0002-0000-0400-00000B000000}"/>
    <dataValidation allowBlank="1" showInputMessage="1" showErrorMessage="1" promptTitle="Impacto inherente" prompt="Se define el nivel de impacto inherente de acuerdo con la afectación económica o reputacional de materializarse el riesgo." sqref="Q10" xr:uid="{00000000-0002-0000-0400-00000C000000}"/>
    <dataValidation allowBlank="1" showInputMessage="1" showErrorMessage="1" promptTitle="Valoración porcentual" prompt="Se genera la valoración porcentual del impacto inherente." sqref="R10:R11" xr:uid="{00000000-0002-0000-0400-00000D000000}"/>
    <dataValidation allowBlank="1" showInputMessage="1" showErrorMessage="1" promptTitle="Zona de riesgo inherente" prompt="Determinación de la zona de severidad antes de controles." sqref="T10:T11" xr:uid="{00000000-0002-0000-0400-00000E000000}"/>
    <dataValidation allowBlank="1" showInputMessage="1" showErrorMessage="1" promptTitle="Tipo de control" prompt="Seleccione de la lista desplegable el tipo de control diseñado para reducir o mitigar el riesgo." sqref="W11:Y11" xr:uid="{00000000-0002-0000-0400-000011000000}"/>
    <dataValidation allowBlank="1" showInputMessage="1" showErrorMessage="1" promptTitle="Implementación" prompt="Seleccione de la lista desplegable la opción correspondiente." sqref="Z11:AA11" xr:uid="{00000000-0002-0000-0400-000013000000}"/>
    <dataValidation allowBlank="1" showInputMessage="1" showErrorMessage="1" promptTitle="Calificación" prompt="Valoración porcentual del control de acuerdo con sus atributos." sqref="AB11" xr:uid="{00000000-0002-0000-0400-000014000000}"/>
    <dataValidation allowBlank="1" showInputMessage="1" showErrorMessage="1" promptTitle="Documentación" prompt="Seleccione de la lista desplegable la opción correspondiente." sqref="AC11" xr:uid="{00000000-0002-0000-0400-000015000000}"/>
    <dataValidation allowBlank="1" showInputMessage="1" showErrorMessage="1" promptTitle="Frecuencia" prompt="Seleccione de la lista desplegable la opción correspondiente." sqref="AD11" xr:uid="{00000000-0002-0000-0400-000016000000}"/>
    <dataValidation allowBlank="1" showInputMessage="1" showErrorMessage="1" promptTitle="Evidencia" prompt="Seleccione de la lista desplegable la opción correspondiente." sqref="AE11" xr:uid="{00000000-0002-0000-0400-000017000000}"/>
    <dataValidation allowBlank="1" showInputMessage="1" showErrorMessage="1" promptTitle="Probabilidad residual" prompt="Valoración de la probabilidad residual aplicando controles." sqref="AF10" xr:uid="{00000000-0002-0000-0400-000018000000}"/>
    <dataValidation allowBlank="1" showInputMessage="1" showErrorMessage="1" promptTitle="Porcentaje" prompt="Valoración porcentual de la probabilidad residual" sqref="AG10:AH10" xr:uid="{00000000-0002-0000-0400-000019000000}"/>
    <dataValidation allowBlank="1" showInputMessage="1" showErrorMessage="1" promptTitle="Impacto residual" prompt="Valoración del impacto residual aplicando controles._x000a_" sqref="AI10" xr:uid="{00000000-0002-0000-0400-00001A000000}"/>
    <dataValidation allowBlank="1" showInputMessage="1" showErrorMessage="1" promptTitle="Porcentaje" prompt="valoración porcentual del impacto residual final una vez aplicados los controles." sqref="AJ10" xr:uid="{00000000-0002-0000-0400-00001B000000}"/>
    <dataValidation allowBlank="1" showInputMessage="1" showErrorMessage="1" promptTitle="Zona de riesgo final" prompt="Ubicación del riesgo residual en la zona de severidad correspondiente." sqref="AK10:AP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R10" xr:uid="{00000000-0002-0000-0400-00001D000000}"/>
    <dataValidation allowBlank="1" showInputMessage="1" showErrorMessage="1" promptTitle="Tratamiento" prompt="Seleccione de la lista desplegable el tratamiento más apropiado para mitigar el riesgo." sqref="AQ10" xr:uid="{00000000-0002-0000-0400-000023000000}"/>
    <dataValidation allowBlank="1" showInputMessage="1" showErrorMessage="1" promptTitle="Impacto" prompt="De acuerdo con el análisis del riesgo, seleccione de la lista desplegable la opción correspondiente " sqref="L10" xr:uid="{00000000-0002-0000-0400-00002A000000}"/>
    <dataValidation allowBlank="1" showInputMessage="1" showErrorMessage="1" promptTitle="Observaciones" prompt="Si se requiere hacer alguna observación adicional sobre el riesgo o los componentes del mismo._x000a_" sqref="K10:L10" xr:uid="{00000000-0002-0000-0400-00002B000000}"/>
    <dataValidation type="list" allowBlank="1" showInputMessage="1" showErrorMessage="1" sqref="J12:J21 J32:J41 J72:J81 J122:J131 J152:J161 J182:J191 J212:J221 J322:J331 J362:J371 J402:J411 J422:J431 J532:J541 J622:J631 J942:J951" xr:uid="{8C17BF37-2896-4985-A00A-3E8A5E22B98C}">
      <formula1>INDIRECT($I$12)</formula1>
    </dataValidation>
    <dataValidation type="list" allowBlank="1" showInputMessage="1" showErrorMessage="1" sqref="P12 P32 P72 P122 P152 P182 P212 P322 P362 P402 P422 P532 P622 P942" xr:uid="{27BF41FF-57A7-4B8D-91EF-418D70E7FAE8}">
      <formula1>INDIRECT($L$12)</formula1>
    </dataValidation>
    <dataValidation type="list" allowBlank="1" showInputMessage="1" showErrorMessage="1" sqref="P22:P31 P42:P51 P82:P91 P132:P141 P162:P171 P192:P201 P222:P231 P332:P341 P372:P381 P412:P421 P432:P451 P502:P511 P542:P551 P562:P571 P582:P591 P632:P641 P662:P671 P722:P731 P882:P891 P952:P961 P1002:P1011" xr:uid="{D26E83CA-5094-4700-9344-F61367DEAAF7}">
      <formula1>INDIRECT($L$22)</formula1>
    </dataValidation>
    <dataValidation type="list" allowBlank="1" showInputMessage="1" showErrorMessage="1" sqref="P52:P61 P92:P101 P142:P151 P172:P181 P202:P211 P232:P241 P342:P351 P382:P391 P452:P461 P512:P521 P572:P581 P592:P601 P642:P651 P672:P681 P732:P741 P892:P901 P972:P981 P1012:P1021" xr:uid="{02E1BCC4-95E8-4CD0-A665-1EA78D508F13}">
      <formula1>INDIRECT($L$32)</formula1>
    </dataValidation>
    <dataValidation type="list" allowBlank="1" showInputMessage="1" showErrorMessage="1" sqref="P62:P71 P102:P111 P242:P251 P352:P361 P392:P401 P462:P471 P522:P531 P552:P561 P602:P611 P682:P691 P742:P751 P812:P821 P902:P911 P962:P971 P982:P991" xr:uid="{FDF54543-E983-432D-A980-7CAC6AFC3D4A}">
      <formula1>INDIRECT($L$42)</formula1>
    </dataValidation>
    <dataValidation type="list" allowBlank="1" showInputMessage="1" showErrorMessage="1" sqref="P112:P121 P252:P261 P472:P481 P612:P621 P652:P661 P692:P701 P752:P761 P822:P831 P912:P921 P992:P1001" xr:uid="{CE5D390C-50E1-42D1-9EB1-AD715EBC9473}">
      <formula1>INDIRECT($L$52)</formula1>
    </dataValidation>
    <dataValidation type="list" allowBlank="1" showInputMessage="1" showErrorMessage="1" sqref="P262:P271 P482:P491 P702:P711 P762:P771 P832:P841 P922:P941" xr:uid="{2C626C51-CDAE-434F-BA54-1DA257A9E06A}">
      <formula1>INDIRECT($L$62)</formula1>
    </dataValidation>
    <dataValidation type="list" allowBlank="1" showInputMessage="1" showErrorMessage="1" sqref="P272:P281 P492:P501 P712:P721 P772:P781 P842:P851" xr:uid="{AD49CDD9-647D-4FF8-A5D5-B7A1D2A62EDB}">
      <formula1>INDIRECT($L$72)</formula1>
    </dataValidation>
    <dataValidation type="list" allowBlank="1" showInputMessage="1" showErrorMessage="1" sqref="P282:P291 P782:P791 P852:P861" xr:uid="{4A2FE660-B939-41D4-BB67-4DD7CB619D8B}">
      <formula1>INDIRECT($L$82)</formula1>
    </dataValidation>
    <dataValidation type="list" allowBlank="1" showInputMessage="1" showErrorMessage="1" sqref="P292:P301 P792:P801 P862:P871" xr:uid="{565BD0AB-D966-4281-AA51-7CDF908320E6}">
      <formula1>INDIRECT($L$92)</formula1>
    </dataValidation>
    <dataValidation type="list" allowBlank="1" showInputMessage="1" showErrorMessage="1" sqref="P302:P311 P802:P811 P872:P881" xr:uid="{DC05C8A6-64A2-4C91-B75A-79B7A02A3D3F}">
      <formula1>INDIRECT($L$102)</formula1>
    </dataValidation>
    <dataValidation allowBlank="1" showInputMessage="1" showErrorMessage="1" promptTitle="N° de control" prompt="Consecutivo del control o controles._x000a_" sqref="U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V9" xr:uid="{00000000-0002-0000-0400-000010000000}"/>
    <dataValidation type="list" allowBlank="1" showInputMessage="1" showErrorMessage="1" sqref="J22:J31 J42:J51 J82:J91 J132:J141 J162:J171 J192:J201 J222:J231 J332:J341 J372:J381 J412:J421 J432:J451 J502:J511 J542:J551 J562:J571 J582:J591 J632:J641 J662:J671 J722:J731 J882:J891 J952:J961 J1002:J1011" xr:uid="{A8F319EF-4D3E-42F6-8FC0-C60D4E68EAD2}">
      <formula1>INDIRECT($I$22)</formula1>
    </dataValidation>
    <dataValidation allowBlank="1" showInputMessage="1" showErrorMessage="1" promptTitle="Referencia" prompt="Consecutivo del riesgo." sqref="D10" xr:uid="{00000000-0002-0000-0400-000001000000}"/>
    <dataValidation type="list" allowBlank="1" showInputMessage="1" showErrorMessage="1" sqref="J62:J71 J102:J111 J242:J251 J352:J361 J392:J401 J462:J471 J522:J531 J602:J611 J742:J751 J812:J821 J902:J911 J962:J971" xr:uid="{E78950E5-9474-4A08-9FAF-DAC692B0290E}">
      <formula1>INDIRECT($I$42)</formula1>
    </dataValidation>
    <dataValidation type="list" allowBlank="1" showInputMessage="1" showErrorMessage="1" sqref="J52:J61 J92:J101 J142:J151 J172:J181 J202:J211 J232:J241 J342:J351 J382:J391 J452:J461 J512:J521 J592:J601 J642:J651 J672:J681 J732:J741 J892:J901 J1012:J1021" xr:uid="{6C77F0D9-623B-497B-8555-B7F22503C059}">
      <formula1>INDIRECT($I$32)</formula1>
    </dataValidation>
    <dataValidation type="list" allowBlank="1" showInputMessage="1" showErrorMessage="1" sqref="J112:J121 J252:J261 J472:J481 J652:J661 J752:J761 J822:J831 J912:J921 J992:J1001" xr:uid="{08AFF769-31A8-4C65-9DCA-41D4879F2FC8}">
      <formula1>INDIRECT($I$52)</formula1>
    </dataValidation>
    <dataValidation type="list" allowBlank="1" showInputMessage="1" showErrorMessage="1" sqref="J302:J311 J802:J811 J872:J881" xr:uid="{41B98C29-4427-4092-9291-07ED6503C20F}">
      <formula1>INDIRECT($I$102)</formula1>
    </dataValidation>
    <dataValidation type="list" allowBlank="1" showInputMessage="1" showErrorMessage="1" sqref="J292:J301 J792:J801 J862:J871" xr:uid="{DECECBEC-213D-4A7D-93FA-54A96A0CCEBB}">
      <formula1>INDIRECT($I$92)</formula1>
    </dataValidation>
    <dataValidation type="list" allowBlank="1" showInputMessage="1" showErrorMessage="1" sqref="J272:J291 J782:J791 J852:J861" xr:uid="{4D1D1C55-CA76-4245-BF8C-7A20475CE1BA}">
      <formula1>INDIRECT($I$82)</formula1>
    </dataValidation>
    <dataValidation type="list" allowBlank="1" showInputMessage="1" showErrorMessage="1" sqref="J262:J271 J482:J491 J702:J721 J762:J771 J832:J841 J922:J931" xr:uid="{66C3A93F-773F-4F87-AC00-4666FBC4FB69}">
      <formula1>INDIRECT($I$62)</formula1>
    </dataValidation>
    <dataValidation type="list" allowBlank="1" showInputMessage="1" showErrorMessage="1" sqref="J312:J321" xr:uid="{F552F099-D051-4BE9-BA70-7C6BB274CE4E}">
      <formula1>INDIRECT($I$122)</formula1>
    </dataValidation>
    <dataValidation type="list" allowBlank="1" showInputMessage="1" showErrorMessage="1" sqref="J492:J501 J772:J781 J842:J851 J932:J941" xr:uid="{24E6BE88-643E-4A87-A70F-98DBAA4ECD0B}">
      <formula1>INDIRECT($I$72)</formula1>
    </dataValidation>
    <dataValidation type="list" allowBlank="1" showInputMessage="1" showErrorMessage="1" sqref="P312:P321" xr:uid="{4E40AC06-16DE-4F7A-9FE2-C6B433BEBDD9}">
      <formula1>INDIRECT($J$126)</formula1>
    </dataValidation>
  </dataValidations>
  <pageMargins left="0.70866141732283472" right="0.70866141732283472" top="0.74803149606299213" bottom="0.74803149606299213" header="0.31496062992125984" footer="0.31496062992125984"/>
  <pageSetup paperSize="5" scale="14" fitToHeight="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0180" operator="containsText" id="{1D2C7D1A-6707-49D9-8C90-F33ABBAC2F1C}">
            <xm:f>NOT(ISERROR(SEARCH($Q$12,Q12)))</xm:f>
            <xm:f>$Q$12</xm:f>
            <x14:dxf>
              <fill>
                <patternFill>
                  <bgColor rgb="FFFFFF00"/>
                </patternFill>
              </fill>
            </x14:dxf>
          </x14:cfRule>
          <x14:cfRule type="containsText" priority="10182" operator="containsText" id="{77E2B566-0B3E-468E-8BBF-0286002124CB}">
            <xm:f>NOT(ISERROR(SEARCH($Q$12,Q12)))</xm:f>
            <xm:f>$Q$12</xm:f>
            <x14:dxf>
              <fill>
                <patternFill>
                  <bgColor rgb="FFFF0000"/>
                </patternFill>
              </fill>
            </x14:dxf>
          </x14:cfRule>
          <x14:cfRule type="containsText" priority="10181" operator="containsText" id="{03C53FFA-3D18-4568-885F-02B5D34400E1}">
            <xm:f>NOT(ISERROR(SEARCH($Q$12,Q12)))</xm:f>
            <xm:f>$Q$12</xm:f>
            <x14:dxf>
              <fill>
                <patternFill>
                  <bgColor rgb="FFFFC000"/>
                </patternFill>
              </fill>
            </x14:dxf>
          </x14:cfRule>
          <x14:cfRule type="containsText" priority="10179" operator="containsText" id="{32788CC9-F034-45B5-93E0-ED8E9B367AFA}">
            <xm:f>NOT(ISERROR(SEARCH($Q$12,Q12)))</xm:f>
            <xm:f>$Q$12</xm:f>
            <x14:dxf>
              <fill>
                <patternFill>
                  <bgColor theme="9"/>
                </patternFill>
              </fill>
            </x14:dxf>
          </x14:cfRule>
          <x14:cfRule type="containsText" priority="10178" operator="containsText" id="{AA9D4A07-754E-48E2-BBE3-4ACF0E34FCC8}">
            <xm:f>NOT(ISERROR(SEARCH($Q$12,Q12)))</xm:f>
            <xm:f>$Q$12</xm:f>
            <x14:dxf>
              <fill>
                <patternFill>
                  <bgColor theme="9" tint="0.59996337778862885"/>
                </patternFill>
              </fill>
            </x14:dxf>
          </x14:cfRule>
          <x14:cfRule type="containsText" priority="10177" operator="containsText" id="{8DB14A08-65A5-4149-B83F-AF90B3BBB42E}">
            <xm:f>NOT(ISERROR(SEARCH($Q$12,Q12)))</xm:f>
            <xm:f>$Q$12</xm:f>
            <x14:dxf>
              <fill>
                <patternFill>
                  <bgColor rgb="FFFF0000"/>
                </patternFill>
              </fill>
            </x14:dxf>
          </x14:cfRule>
          <x14:cfRule type="containsText" priority="10176" operator="containsText" id="{BDD50263-608D-4E0F-848A-E80BBD76854C}">
            <xm:f>NOT(ISERROR(SEARCH($Q$12,Q12)))</xm:f>
            <xm:f>$Q$12</xm:f>
            <x14:dxf>
              <fill>
                <patternFill>
                  <bgColor rgb="FFFFC000"/>
                </patternFill>
              </fill>
            </x14:dxf>
          </x14:cfRule>
          <x14:cfRule type="containsText" priority="10175" operator="containsText" id="{17300A8C-D46F-41AC-BEC3-6374A692ECEA}">
            <xm:f>NOT(ISERROR(SEARCH($Q$12,Q12)))</xm:f>
            <xm:f>$Q$12</xm:f>
            <x14:dxf>
              <fill>
                <patternFill>
                  <bgColor rgb="FFFFFF00"/>
                </patternFill>
              </fill>
            </x14:dxf>
          </x14:cfRule>
          <x14:cfRule type="containsText" priority="10174" operator="containsText" id="{9179A16F-D632-491E-9123-CE4E3502FB99}">
            <xm:f>NOT(ISERROR(SEARCH($Q$12,Q12)))</xm:f>
            <xm:f>$Q$12</xm:f>
            <x14:dxf/>
          </x14:cfRule>
          <x14:cfRule type="containsText" priority="10173" operator="containsText" id="{92FD446B-D296-49CA-B180-BBB449DBF610}">
            <xm:f>NOT(ISERROR(SEARCH($Q$12,Q12)))</xm:f>
            <xm:f>$Q$12</xm:f>
            <x14:dxf>
              <fill>
                <patternFill>
                  <bgColor rgb="FF00B050"/>
                </patternFill>
              </fill>
            </x14:dxf>
          </x14:cfRule>
          <x14:cfRule type="containsText" priority="10172" operator="containsText" id="{D7FAA9B8-48DB-4F0B-9FAE-C4BDAA57C427}">
            <xm:f>NOT(ISERROR(SEARCH($Q$12,Q12)))</xm:f>
            <xm:f>$Q$12</xm:f>
            <x14:dxf>
              <fill>
                <patternFill>
                  <bgColor theme="9" tint="0.39994506668294322"/>
                </patternFill>
              </fill>
            </x14:dxf>
          </x14:cfRule>
          <x14:cfRule type="containsText" priority="10171" operator="containsText" id="{1E0BCAED-EAA2-4BDD-B176-BF8672DCC17A}">
            <xm:f>NOT(ISERROR(SEARCH($Q$12,Q12)))</xm:f>
            <xm:f>$Q$12</xm:f>
            <x14:dxf>
              <fill>
                <patternFill>
                  <bgColor theme="9" tint="0.79998168889431442"/>
                </patternFill>
              </fill>
            </x14:dxf>
          </x14:cfRule>
          <x14:cfRule type="containsText" priority="10170" operator="containsText" id="{0A1375B2-2755-4B40-9C05-E8318A05EAAA}">
            <xm:f>NOT(ISERROR(SEARCH($Q$12,Q12)))</xm:f>
            <xm:f>$Q$12</xm:f>
            <x14:dxf>
              <fill>
                <patternFill>
                  <bgColor rgb="FFFFFF00"/>
                </patternFill>
              </fill>
            </x14:dxf>
          </x14:cfRule>
          <xm:sqref>Q12</xm:sqref>
        </x14:conditionalFormatting>
        <x14:conditionalFormatting xmlns:xm="http://schemas.microsoft.com/office/excel/2006/main">
          <x14:cfRule type="containsText" priority="10092" operator="containsText" id="{6566B6C5-E7D7-4D89-AAD1-C2C023264127}">
            <xm:f>NOT(ISERROR(SEARCH($Q$12,Q22)))</xm:f>
            <xm:f>$Q$12</xm:f>
            <x14:dxf>
              <fill>
                <patternFill>
                  <bgColor rgb="FFFFFF00"/>
                </patternFill>
              </fill>
            </x14:dxf>
          </x14:cfRule>
          <x14:cfRule type="containsText" priority="10091" operator="containsText" id="{E1488A02-5657-4C18-81B9-73858FAB2857}">
            <xm:f>NOT(ISERROR(SEARCH($Q$12,Q22)))</xm:f>
            <xm:f>$Q$12</xm:f>
            <x14:dxf/>
          </x14:cfRule>
          <x14:cfRule type="containsText" priority="10090" operator="containsText" id="{67AAD29F-F557-420E-A2BD-289E9E4CE2D4}">
            <xm:f>NOT(ISERROR(SEARCH($Q$12,Q22)))</xm:f>
            <xm:f>$Q$12</xm:f>
            <x14:dxf>
              <fill>
                <patternFill>
                  <bgColor rgb="FF00B050"/>
                </patternFill>
              </fill>
            </x14:dxf>
          </x14:cfRule>
          <x14:cfRule type="containsText" priority="10089" operator="containsText" id="{6D583FC4-369E-48F2-B63B-AE113DED9663}">
            <xm:f>NOT(ISERROR(SEARCH($Q$12,Q22)))</xm:f>
            <xm:f>$Q$12</xm:f>
            <x14:dxf>
              <fill>
                <patternFill>
                  <bgColor theme="9" tint="0.39994506668294322"/>
                </patternFill>
              </fill>
            </x14:dxf>
          </x14:cfRule>
          <x14:cfRule type="containsText" priority="10088" operator="containsText" id="{5DF23AC3-E923-4735-A67C-9C77054EEC17}">
            <xm:f>NOT(ISERROR(SEARCH($Q$12,Q22)))</xm:f>
            <xm:f>$Q$12</xm:f>
            <x14:dxf>
              <fill>
                <patternFill>
                  <bgColor theme="9" tint="0.79998168889431442"/>
                </patternFill>
              </fill>
            </x14:dxf>
          </x14:cfRule>
          <x14:cfRule type="containsText" priority="10087" operator="containsText" id="{60570BD2-F21A-40E0-A29A-F78D03BA33E6}">
            <xm:f>NOT(ISERROR(SEARCH($Q$12,Q22)))</xm:f>
            <xm:f>$Q$12</xm:f>
            <x14:dxf>
              <fill>
                <patternFill>
                  <bgColor rgb="FFFFFF00"/>
                </patternFill>
              </fill>
            </x14:dxf>
          </x14:cfRule>
          <x14:cfRule type="containsText" priority="10093" operator="containsText" id="{C422F96A-B3E3-409F-BF10-630269A5F4E9}">
            <xm:f>NOT(ISERROR(SEARCH($Q$12,Q22)))</xm:f>
            <xm:f>$Q$12</xm:f>
            <x14:dxf>
              <fill>
                <patternFill>
                  <bgColor rgb="FFFFC000"/>
                </patternFill>
              </fill>
            </x14:dxf>
          </x14:cfRule>
          <x14:cfRule type="containsText" priority="10099" operator="containsText" id="{39CC5F53-D9C5-4BCE-901E-8927E45496B5}">
            <xm:f>NOT(ISERROR(SEARCH($Q$12,Q22)))</xm:f>
            <xm:f>$Q$12</xm:f>
            <x14:dxf>
              <fill>
                <patternFill>
                  <bgColor rgb="FFFF0000"/>
                </patternFill>
              </fill>
            </x14:dxf>
          </x14:cfRule>
          <x14:cfRule type="containsText" priority="10098" operator="containsText" id="{0720A071-2241-4AA9-9B5A-8968470C300D}">
            <xm:f>NOT(ISERROR(SEARCH($Q$12,Q22)))</xm:f>
            <xm:f>$Q$12</xm:f>
            <x14:dxf>
              <fill>
                <patternFill>
                  <bgColor rgb="FFFFC000"/>
                </patternFill>
              </fill>
            </x14:dxf>
          </x14:cfRule>
          <x14:cfRule type="containsText" priority="10097" operator="containsText" id="{30E656E5-FFDE-4788-AB80-2F7D67AFB447}">
            <xm:f>NOT(ISERROR(SEARCH($Q$12,Q22)))</xm:f>
            <xm:f>$Q$12</xm:f>
            <x14:dxf>
              <fill>
                <patternFill>
                  <bgColor rgb="FFFFFF00"/>
                </patternFill>
              </fill>
            </x14:dxf>
          </x14:cfRule>
          <x14:cfRule type="containsText" priority="10096" operator="containsText" id="{C05055F7-1EE1-4FC2-9442-741154B7F7B6}">
            <xm:f>NOT(ISERROR(SEARCH($Q$12,Q22)))</xm:f>
            <xm:f>$Q$12</xm:f>
            <x14:dxf>
              <fill>
                <patternFill>
                  <bgColor theme="9"/>
                </patternFill>
              </fill>
            </x14:dxf>
          </x14:cfRule>
          <x14:cfRule type="containsText" priority="10095" operator="containsText" id="{D4A2E2FB-A8AF-4BDE-ADE5-7DCA98B513CF}">
            <xm:f>NOT(ISERROR(SEARCH($Q$12,Q22)))</xm:f>
            <xm:f>$Q$12</xm:f>
            <x14:dxf>
              <fill>
                <patternFill>
                  <bgColor theme="9" tint="0.59996337778862885"/>
                </patternFill>
              </fill>
            </x14:dxf>
          </x14:cfRule>
          <x14:cfRule type="containsText" priority="10094" operator="containsText" id="{9907CD1D-41FA-4D0C-9F72-582B75D20F48}">
            <xm:f>NOT(ISERROR(SEARCH($Q$12,Q22)))</xm:f>
            <xm:f>$Q$12</xm:f>
            <x14:dxf>
              <fill>
                <patternFill>
                  <bgColor rgb="FFFF0000"/>
                </patternFill>
              </fill>
            </x14:dxf>
          </x14:cfRule>
          <xm:sqref>Q22</xm:sqref>
        </x14:conditionalFormatting>
        <x14:conditionalFormatting xmlns:xm="http://schemas.microsoft.com/office/excel/2006/main">
          <x14:cfRule type="containsText" priority="9956" operator="containsText" id="{41AD2D29-3B3B-4925-89E2-33C11CFF0914}">
            <xm:f>NOT(ISERROR(SEARCH($Q$12,Q32)))</xm:f>
            <xm:f>$Q$12</xm:f>
            <x14:dxf>
              <fill>
                <patternFill>
                  <bgColor rgb="FFFFC000"/>
                </patternFill>
              </fill>
            </x14:dxf>
          </x14:cfRule>
          <x14:cfRule type="containsText" priority="9955" operator="containsText" id="{ACABE28A-06A2-4964-AB41-35E17475A2D5}">
            <xm:f>NOT(ISERROR(SEARCH($Q$12,Q32)))</xm:f>
            <xm:f>$Q$12</xm:f>
            <x14:dxf>
              <fill>
                <patternFill>
                  <bgColor rgb="FFFFFF00"/>
                </patternFill>
              </fill>
            </x14:dxf>
          </x14:cfRule>
          <x14:cfRule type="containsText" priority="9954" operator="containsText" id="{E69CB3F5-2F58-4A02-8850-1C1CA7420C03}">
            <xm:f>NOT(ISERROR(SEARCH($Q$12,Q32)))</xm:f>
            <xm:f>$Q$12</xm:f>
            <x14:dxf/>
          </x14:cfRule>
          <x14:cfRule type="containsText" priority="9953" operator="containsText" id="{ACB11336-BA22-4766-820A-3A4EC04D6149}">
            <xm:f>NOT(ISERROR(SEARCH($Q$12,Q32)))</xm:f>
            <xm:f>$Q$12</xm:f>
            <x14:dxf>
              <fill>
                <patternFill>
                  <bgColor rgb="FF00B050"/>
                </patternFill>
              </fill>
            </x14:dxf>
          </x14:cfRule>
          <x14:cfRule type="containsText" priority="9952" operator="containsText" id="{968A5D52-1A3C-4A7E-A9B2-AF3F6619710F}">
            <xm:f>NOT(ISERROR(SEARCH($Q$12,Q32)))</xm:f>
            <xm:f>$Q$12</xm:f>
            <x14:dxf>
              <fill>
                <patternFill>
                  <bgColor theme="9" tint="0.39994506668294322"/>
                </patternFill>
              </fill>
            </x14:dxf>
          </x14:cfRule>
          <x14:cfRule type="containsText" priority="9950" operator="containsText" id="{112B6047-9720-4EDB-B848-FDCE647118EB}">
            <xm:f>NOT(ISERROR(SEARCH($Q$12,Q32)))</xm:f>
            <xm:f>$Q$12</xm:f>
            <x14:dxf>
              <fill>
                <patternFill>
                  <bgColor rgb="FFFFFF00"/>
                </patternFill>
              </fill>
            </x14:dxf>
          </x14:cfRule>
          <x14:cfRule type="containsText" priority="9957" operator="containsText" id="{B997F479-E48D-4743-93CC-ABFE0A10181F}">
            <xm:f>NOT(ISERROR(SEARCH($Q$12,Q32)))</xm:f>
            <xm:f>$Q$12</xm:f>
            <x14:dxf>
              <fill>
                <patternFill>
                  <bgColor rgb="FFFF0000"/>
                </patternFill>
              </fill>
            </x14:dxf>
          </x14:cfRule>
          <x14:cfRule type="containsText" priority="9951" operator="containsText" id="{5DDC960E-17F0-4D41-A01E-D01242271851}">
            <xm:f>NOT(ISERROR(SEARCH($Q$12,Q32)))</xm:f>
            <xm:f>$Q$12</xm:f>
            <x14:dxf>
              <fill>
                <patternFill>
                  <bgColor theme="9" tint="0.79998168889431442"/>
                </patternFill>
              </fill>
            </x14:dxf>
          </x14:cfRule>
          <x14:cfRule type="containsText" priority="9958" operator="containsText" id="{F01F6B7C-3DDD-421C-8062-4A9C4B77A825}">
            <xm:f>NOT(ISERROR(SEARCH($Q$12,Q32)))</xm:f>
            <xm:f>$Q$12</xm:f>
            <x14:dxf>
              <fill>
                <patternFill>
                  <bgColor theme="9" tint="0.59996337778862885"/>
                </patternFill>
              </fill>
            </x14:dxf>
          </x14:cfRule>
          <x14:cfRule type="containsText" priority="9959" operator="containsText" id="{77DCBCC0-2EE0-4938-A962-E117846B03FB}">
            <xm:f>NOT(ISERROR(SEARCH($Q$12,Q32)))</xm:f>
            <xm:f>$Q$12</xm:f>
            <x14:dxf>
              <fill>
                <patternFill>
                  <bgColor theme="9"/>
                </patternFill>
              </fill>
            </x14:dxf>
          </x14:cfRule>
          <x14:cfRule type="containsText" priority="9960" operator="containsText" id="{19F6DD1B-2B24-469C-9E26-BA06C3ADD4AB}">
            <xm:f>NOT(ISERROR(SEARCH($Q$12,Q32)))</xm:f>
            <xm:f>$Q$12</xm:f>
            <x14:dxf>
              <fill>
                <patternFill>
                  <bgColor rgb="FFFFFF00"/>
                </patternFill>
              </fill>
            </x14:dxf>
          </x14:cfRule>
          <x14:cfRule type="containsText" priority="9961" operator="containsText" id="{46B80D99-50B3-45B4-B93B-8E26C59FCC1F}">
            <xm:f>NOT(ISERROR(SEARCH($Q$12,Q32)))</xm:f>
            <xm:f>$Q$12</xm:f>
            <x14:dxf>
              <fill>
                <patternFill>
                  <bgColor rgb="FFFFC000"/>
                </patternFill>
              </fill>
            </x14:dxf>
          </x14:cfRule>
          <x14:cfRule type="containsText" priority="9962" operator="containsText" id="{8871F276-56AA-48B8-890C-A47C75F4E36A}">
            <xm:f>NOT(ISERROR(SEARCH($Q$12,Q32)))</xm:f>
            <xm:f>$Q$12</xm:f>
            <x14:dxf>
              <fill>
                <patternFill>
                  <bgColor rgb="FFFF0000"/>
                </patternFill>
              </fill>
            </x14:dxf>
          </x14:cfRule>
          <xm:sqref>Q32</xm:sqref>
        </x14:conditionalFormatting>
        <x14:conditionalFormatting xmlns:xm="http://schemas.microsoft.com/office/excel/2006/main">
          <x14:cfRule type="containsText" priority="9846" operator="containsText" id="{0129D8B9-1357-46C4-8C59-D043E813082C}">
            <xm:f>NOT(ISERROR(SEARCH($Q$12,Q42)))</xm:f>
            <xm:f>$Q$12</xm:f>
            <x14:dxf>
              <fill>
                <patternFill>
                  <bgColor rgb="FFFFC000"/>
                </patternFill>
              </fill>
            </x14:dxf>
          </x14:cfRule>
          <x14:cfRule type="containsText" priority="9845" operator="containsText" id="{5B1D16E7-E1DA-4D21-8EC0-8041893A4C10}">
            <xm:f>NOT(ISERROR(SEARCH($Q$12,Q42)))</xm:f>
            <xm:f>$Q$12</xm:f>
            <x14:dxf>
              <fill>
                <patternFill>
                  <bgColor rgb="FFFFFF00"/>
                </patternFill>
              </fill>
            </x14:dxf>
          </x14:cfRule>
          <x14:cfRule type="containsText" priority="9844" operator="containsText" id="{38171827-AB04-4518-9506-44FC4A8E0B24}">
            <xm:f>NOT(ISERROR(SEARCH($Q$12,Q42)))</xm:f>
            <xm:f>$Q$12</xm:f>
            <x14:dxf>
              <fill>
                <patternFill>
                  <bgColor theme="9"/>
                </patternFill>
              </fill>
            </x14:dxf>
          </x14:cfRule>
          <x14:cfRule type="containsText" priority="9843" operator="containsText" id="{DD796FAD-F230-449E-BCA7-0C84214A94F4}">
            <xm:f>NOT(ISERROR(SEARCH($Q$12,Q42)))</xm:f>
            <xm:f>$Q$12</xm:f>
            <x14:dxf>
              <fill>
                <patternFill>
                  <bgColor theme="9" tint="0.59996337778862885"/>
                </patternFill>
              </fill>
            </x14:dxf>
          </x14:cfRule>
          <x14:cfRule type="containsText" priority="9842" operator="containsText" id="{A03CA714-D6C2-436F-B6CB-C1A7B82A3868}">
            <xm:f>NOT(ISERROR(SEARCH($Q$12,Q42)))</xm:f>
            <xm:f>$Q$12</xm:f>
            <x14:dxf>
              <fill>
                <patternFill>
                  <bgColor rgb="FFFF0000"/>
                </patternFill>
              </fill>
            </x14:dxf>
          </x14:cfRule>
          <x14:cfRule type="containsText" priority="9841" operator="containsText" id="{16F52D94-61C1-474C-A1E4-76DC84929279}">
            <xm:f>NOT(ISERROR(SEARCH($Q$12,Q42)))</xm:f>
            <xm:f>$Q$12</xm:f>
            <x14:dxf>
              <fill>
                <patternFill>
                  <bgColor rgb="FFFFC000"/>
                </patternFill>
              </fill>
            </x14:dxf>
          </x14:cfRule>
          <x14:cfRule type="containsText" priority="9840" operator="containsText" id="{0C38D017-8923-45C7-819A-9C69B33B97F5}">
            <xm:f>NOT(ISERROR(SEARCH($Q$12,Q42)))</xm:f>
            <xm:f>$Q$12</xm:f>
            <x14:dxf>
              <fill>
                <patternFill>
                  <bgColor rgb="FFFFFF00"/>
                </patternFill>
              </fill>
            </x14:dxf>
          </x14:cfRule>
          <x14:cfRule type="containsText" priority="9839" operator="containsText" id="{5E90C252-ACB8-4010-8554-88FCEF8EB41C}">
            <xm:f>NOT(ISERROR(SEARCH($Q$12,Q42)))</xm:f>
            <xm:f>$Q$12</xm:f>
            <x14:dxf/>
          </x14:cfRule>
          <x14:cfRule type="containsText" priority="9838" operator="containsText" id="{21421C06-CB86-4218-AD94-202B1D99A671}">
            <xm:f>NOT(ISERROR(SEARCH($Q$12,Q42)))</xm:f>
            <xm:f>$Q$12</xm:f>
            <x14:dxf>
              <fill>
                <patternFill>
                  <bgColor rgb="FF00B050"/>
                </patternFill>
              </fill>
            </x14:dxf>
          </x14:cfRule>
          <x14:cfRule type="containsText" priority="9847" operator="containsText" id="{B6816807-7505-4FE9-832B-1760CEBE2D95}">
            <xm:f>NOT(ISERROR(SEARCH($Q$12,Q42)))</xm:f>
            <xm:f>$Q$12</xm:f>
            <x14:dxf>
              <fill>
                <patternFill>
                  <bgColor rgb="FFFF0000"/>
                </patternFill>
              </fill>
            </x14:dxf>
          </x14:cfRule>
          <x14:cfRule type="containsText" priority="9837" operator="containsText" id="{12C72E62-76CD-4F80-BDD0-8FC6E2BB1F73}">
            <xm:f>NOT(ISERROR(SEARCH($Q$12,Q42)))</xm:f>
            <xm:f>$Q$12</xm:f>
            <x14:dxf>
              <fill>
                <patternFill>
                  <bgColor theme="9" tint="0.39994506668294322"/>
                </patternFill>
              </fill>
            </x14:dxf>
          </x14:cfRule>
          <x14:cfRule type="containsText" priority="9836" operator="containsText" id="{B19190C5-D87A-485E-BF06-B2B870D35E56}">
            <xm:f>NOT(ISERROR(SEARCH($Q$12,Q42)))</xm:f>
            <xm:f>$Q$12</xm:f>
            <x14:dxf>
              <fill>
                <patternFill>
                  <bgColor theme="9" tint="0.79998168889431442"/>
                </patternFill>
              </fill>
            </x14:dxf>
          </x14:cfRule>
          <x14:cfRule type="containsText" priority="9835" operator="containsText" id="{5335B474-F7A6-45BC-8924-141E77F07C33}">
            <xm:f>NOT(ISERROR(SEARCH($Q$12,Q42)))</xm:f>
            <xm:f>$Q$12</xm:f>
            <x14:dxf>
              <fill>
                <patternFill>
                  <bgColor rgb="FFFFFF00"/>
                </patternFill>
              </fill>
            </x14:dxf>
          </x14:cfRule>
          <xm:sqref>Q42</xm:sqref>
        </x14:conditionalFormatting>
        <x14:conditionalFormatting xmlns:xm="http://schemas.microsoft.com/office/excel/2006/main">
          <x14:cfRule type="containsText" priority="9791" operator="containsText" id="{33F0BB01-A2A2-47A0-B5CD-30A9E3BE099D}">
            <xm:f>NOT(ISERROR(SEARCH($Q$12,Q52)))</xm:f>
            <xm:f>$Q$12</xm:f>
            <x14:dxf/>
          </x14:cfRule>
          <x14:cfRule type="containsText" priority="9795" operator="containsText" id="{3E8330F1-F91A-4BAE-AE89-59BBD0C55684}">
            <xm:f>NOT(ISERROR(SEARCH($Q$12,Q52)))</xm:f>
            <xm:f>$Q$12</xm:f>
            <x14:dxf>
              <fill>
                <patternFill>
                  <bgColor theme="9" tint="0.59996337778862885"/>
                </patternFill>
              </fill>
            </x14:dxf>
          </x14:cfRule>
          <x14:cfRule type="containsText" priority="9799" operator="containsText" id="{58963661-FE11-4BB1-BDBB-8667C83E2D88}">
            <xm:f>NOT(ISERROR(SEARCH($Q$12,Q52)))</xm:f>
            <xm:f>$Q$12</xm:f>
            <x14:dxf>
              <fill>
                <patternFill>
                  <bgColor rgb="FFFF0000"/>
                </patternFill>
              </fill>
            </x14:dxf>
          </x14:cfRule>
          <x14:cfRule type="containsText" priority="9798" operator="containsText" id="{42AB282D-BCE7-4B07-9D94-E20EC0F2FA7C}">
            <xm:f>NOT(ISERROR(SEARCH($Q$12,Q52)))</xm:f>
            <xm:f>$Q$12</xm:f>
            <x14:dxf>
              <fill>
                <patternFill>
                  <bgColor rgb="FFFFC000"/>
                </patternFill>
              </fill>
            </x14:dxf>
          </x14:cfRule>
          <x14:cfRule type="containsText" priority="9794" operator="containsText" id="{43BDFBDD-5F59-4D22-86AB-F1600E5013D4}">
            <xm:f>NOT(ISERROR(SEARCH($Q$12,Q52)))</xm:f>
            <xm:f>$Q$12</xm:f>
            <x14:dxf>
              <fill>
                <patternFill>
                  <bgColor rgb="FFFF0000"/>
                </patternFill>
              </fill>
            </x14:dxf>
          </x14:cfRule>
          <x14:cfRule type="containsText" priority="9792" operator="containsText" id="{EA54FE38-FCC8-4D9C-8C93-E0891A80C82E}">
            <xm:f>NOT(ISERROR(SEARCH($Q$12,Q52)))</xm:f>
            <xm:f>$Q$12</xm:f>
            <x14:dxf>
              <fill>
                <patternFill>
                  <bgColor rgb="FFFFFF00"/>
                </patternFill>
              </fill>
            </x14:dxf>
          </x14:cfRule>
          <x14:cfRule type="containsText" priority="9790" operator="containsText" id="{52CDA573-225B-4009-9E47-7772B55D2904}">
            <xm:f>NOT(ISERROR(SEARCH($Q$12,Q52)))</xm:f>
            <xm:f>$Q$12</xm:f>
            <x14:dxf>
              <fill>
                <patternFill>
                  <bgColor rgb="FF00B050"/>
                </patternFill>
              </fill>
            </x14:dxf>
          </x14:cfRule>
          <x14:cfRule type="containsText" priority="9797" operator="containsText" id="{C40C8A33-E628-4AC0-AFCD-183361DDA17C}">
            <xm:f>NOT(ISERROR(SEARCH($Q$12,Q52)))</xm:f>
            <xm:f>$Q$12</xm:f>
            <x14:dxf>
              <fill>
                <patternFill>
                  <bgColor rgb="FFFFFF00"/>
                </patternFill>
              </fill>
            </x14:dxf>
          </x14:cfRule>
          <x14:cfRule type="containsText" priority="9789" operator="containsText" id="{26B3B8B0-773B-4F2C-880D-4DEF3DA67BAA}">
            <xm:f>NOT(ISERROR(SEARCH($Q$12,Q52)))</xm:f>
            <xm:f>$Q$12</xm:f>
            <x14:dxf>
              <fill>
                <patternFill>
                  <bgColor theme="9" tint="0.39994506668294322"/>
                </patternFill>
              </fill>
            </x14:dxf>
          </x14:cfRule>
          <x14:cfRule type="containsText" priority="9788" operator="containsText" id="{E0FD3942-18BB-425A-A9C3-BF1A008CCF78}">
            <xm:f>NOT(ISERROR(SEARCH($Q$12,Q52)))</xm:f>
            <xm:f>$Q$12</xm:f>
            <x14:dxf>
              <fill>
                <patternFill>
                  <bgColor theme="9" tint="0.79998168889431442"/>
                </patternFill>
              </fill>
            </x14:dxf>
          </x14:cfRule>
          <x14:cfRule type="containsText" priority="9787" operator="containsText" id="{392E281A-3D86-4612-B8FC-5038415BEBBB}">
            <xm:f>NOT(ISERROR(SEARCH($Q$12,Q52)))</xm:f>
            <xm:f>$Q$12</xm:f>
            <x14:dxf>
              <fill>
                <patternFill>
                  <bgColor rgb="FFFFFF00"/>
                </patternFill>
              </fill>
            </x14:dxf>
          </x14:cfRule>
          <x14:cfRule type="containsText" priority="9796" operator="containsText" id="{5ED3CA14-1B6C-41D2-8A75-BE3032DAC73B}">
            <xm:f>NOT(ISERROR(SEARCH($Q$12,Q52)))</xm:f>
            <xm:f>$Q$12</xm:f>
            <x14:dxf>
              <fill>
                <patternFill>
                  <bgColor theme="9"/>
                </patternFill>
              </fill>
            </x14:dxf>
          </x14:cfRule>
          <x14:cfRule type="containsText" priority="9793" operator="containsText" id="{D500C17B-6D7A-44F4-8409-83689C244BA1}">
            <xm:f>NOT(ISERROR(SEARCH($Q$12,Q52)))</xm:f>
            <xm:f>$Q$12</xm:f>
            <x14:dxf>
              <fill>
                <patternFill>
                  <bgColor rgb="FFFFC000"/>
                </patternFill>
              </fill>
            </x14:dxf>
          </x14:cfRule>
          <xm:sqref>Q52</xm:sqref>
        </x14:conditionalFormatting>
        <x14:conditionalFormatting xmlns:xm="http://schemas.microsoft.com/office/excel/2006/main">
          <x14:cfRule type="containsText" priority="9742" operator="containsText" id="{0D9BADB3-8DA1-4FD0-891F-609EC80B6B79}">
            <xm:f>NOT(ISERROR(SEARCH($Q$12,Q62)))</xm:f>
            <xm:f>$Q$12</xm:f>
            <x14:dxf>
              <fill>
                <patternFill>
                  <bgColor rgb="FF00B050"/>
                </patternFill>
              </fill>
            </x14:dxf>
          </x14:cfRule>
          <x14:cfRule type="containsText" priority="9743" operator="containsText" id="{5C2938AD-4B1C-4A08-8D38-144D029DDB16}">
            <xm:f>NOT(ISERROR(SEARCH($Q$12,Q62)))</xm:f>
            <xm:f>$Q$12</xm:f>
            <x14:dxf/>
          </x14:cfRule>
          <x14:cfRule type="containsText" priority="9744" operator="containsText" id="{578208C9-FC11-4B1C-9353-3AF468758FAC}">
            <xm:f>NOT(ISERROR(SEARCH($Q$12,Q62)))</xm:f>
            <xm:f>$Q$12</xm:f>
            <x14:dxf>
              <fill>
                <patternFill>
                  <bgColor rgb="FFFFFF00"/>
                </patternFill>
              </fill>
            </x14:dxf>
          </x14:cfRule>
          <x14:cfRule type="containsText" priority="9745" operator="containsText" id="{49D7BEB8-8851-4D3C-9A98-7B9A80E60694}">
            <xm:f>NOT(ISERROR(SEARCH($Q$12,Q62)))</xm:f>
            <xm:f>$Q$12</xm:f>
            <x14:dxf>
              <fill>
                <patternFill>
                  <bgColor rgb="FFFFC000"/>
                </patternFill>
              </fill>
            </x14:dxf>
          </x14:cfRule>
          <x14:cfRule type="containsText" priority="9746" operator="containsText" id="{089B336C-8066-4E63-9A3F-B87DEDB37B0A}">
            <xm:f>NOT(ISERROR(SEARCH($Q$12,Q62)))</xm:f>
            <xm:f>$Q$12</xm:f>
            <x14:dxf>
              <fill>
                <patternFill>
                  <bgColor rgb="FFFF0000"/>
                </patternFill>
              </fill>
            </x14:dxf>
          </x14:cfRule>
          <x14:cfRule type="containsText" priority="9747" operator="containsText" id="{2F1C9B0C-BA31-4CE0-B6AD-B8375C0FF164}">
            <xm:f>NOT(ISERROR(SEARCH($Q$12,Q62)))</xm:f>
            <xm:f>$Q$12</xm:f>
            <x14:dxf>
              <fill>
                <patternFill>
                  <bgColor theme="9" tint="0.59996337778862885"/>
                </patternFill>
              </fill>
            </x14:dxf>
          </x14:cfRule>
          <x14:cfRule type="containsText" priority="9748" operator="containsText" id="{37BD6ABF-3D58-451A-805C-7AA2AB96C44F}">
            <xm:f>NOT(ISERROR(SEARCH($Q$12,Q62)))</xm:f>
            <xm:f>$Q$12</xm:f>
            <x14:dxf>
              <fill>
                <patternFill>
                  <bgColor theme="9"/>
                </patternFill>
              </fill>
            </x14:dxf>
          </x14:cfRule>
          <x14:cfRule type="containsText" priority="9749" operator="containsText" id="{DAA53FAA-4F9F-478F-8182-F9A34B3C47C3}">
            <xm:f>NOT(ISERROR(SEARCH($Q$12,Q62)))</xm:f>
            <xm:f>$Q$12</xm:f>
            <x14:dxf>
              <fill>
                <patternFill>
                  <bgColor rgb="FFFFFF00"/>
                </patternFill>
              </fill>
            </x14:dxf>
          </x14:cfRule>
          <x14:cfRule type="containsText" priority="9750" operator="containsText" id="{81F7752E-AFD1-456F-A204-5D77C8909E8D}">
            <xm:f>NOT(ISERROR(SEARCH($Q$12,Q62)))</xm:f>
            <xm:f>$Q$12</xm:f>
            <x14:dxf>
              <fill>
                <patternFill>
                  <bgColor rgb="FFFFC000"/>
                </patternFill>
              </fill>
            </x14:dxf>
          </x14:cfRule>
          <x14:cfRule type="containsText" priority="9751" operator="containsText" id="{B74692C2-584C-48E0-98C2-46E0670EF9B4}">
            <xm:f>NOT(ISERROR(SEARCH($Q$12,Q62)))</xm:f>
            <xm:f>$Q$12</xm:f>
            <x14:dxf>
              <fill>
                <patternFill>
                  <bgColor rgb="FFFF0000"/>
                </patternFill>
              </fill>
            </x14:dxf>
          </x14:cfRule>
          <x14:cfRule type="containsText" priority="9739" operator="containsText" id="{A6CB7D82-F754-45DD-BC14-B7674278E42F}">
            <xm:f>NOT(ISERROR(SEARCH($Q$12,Q62)))</xm:f>
            <xm:f>$Q$12</xm:f>
            <x14:dxf>
              <fill>
                <patternFill>
                  <bgColor rgb="FFFFFF00"/>
                </patternFill>
              </fill>
            </x14:dxf>
          </x14:cfRule>
          <x14:cfRule type="containsText" priority="9740" operator="containsText" id="{B09A503C-7A40-49CC-B740-06EC201960AF}">
            <xm:f>NOT(ISERROR(SEARCH($Q$12,Q62)))</xm:f>
            <xm:f>$Q$12</xm:f>
            <x14:dxf>
              <fill>
                <patternFill>
                  <bgColor theme="9" tint="0.79998168889431442"/>
                </patternFill>
              </fill>
            </x14:dxf>
          </x14:cfRule>
          <x14:cfRule type="containsText" priority="9741" operator="containsText" id="{9FF00736-7FFE-49E0-8651-EE78DBDA2A75}">
            <xm:f>NOT(ISERROR(SEARCH($Q$12,Q62)))</xm:f>
            <xm:f>$Q$12</xm:f>
            <x14:dxf>
              <fill>
                <patternFill>
                  <bgColor theme="9" tint="0.39994506668294322"/>
                </patternFill>
              </fill>
            </x14:dxf>
          </x14:cfRule>
          <xm:sqref>Q62</xm:sqref>
        </x14:conditionalFormatting>
        <x14:conditionalFormatting xmlns:xm="http://schemas.microsoft.com/office/excel/2006/main">
          <x14:cfRule type="containsText" priority="9564" operator="containsText" id="{5542356C-0D8E-4A6C-AB42-29940C9B744C}">
            <xm:f>NOT(ISERROR(SEARCH($Q$12,Q72)))</xm:f>
            <xm:f>$Q$12</xm:f>
            <x14:dxf>
              <fill>
                <patternFill>
                  <bgColor rgb="FFFF0000"/>
                </patternFill>
              </fill>
            </x14:dxf>
          </x14:cfRule>
          <x14:cfRule type="containsText" priority="9556" operator="containsText" id="{3E890097-44A1-4535-8E7E-AD57F33DD9CC}">
            <xm:f>NOT(ISERROR(SEARCH($Q$12,Q72)))</xm:f>
            <xm:f>$Q$12</xm:f>
            <x14:dxf/>
          </x14:cfRule>
          <x14:cfRule type="containsText" priority="9555" operator="containsText" id="{F5CA8FAF-B447-4D55-AAE4-C186D435CA4D}">
            <xm:f>NOT(ISERROR(SEARCH($Q$12,Q72)))</xm:f>
            <xm:f>$Q$12</xm:f>
            <x14:dxf>
              <fill>
                <patternFill>
                  <bgColor rgb="FF00B050"/>
                </patternFill>
              </fill>
            </x14:dxf>
          </x14:cfRule>
          <x14:cfRule type="containsText" priority="9562" operator="containsText" id="{E0CBFF93-32AD-4013-B7B5-632F1FB82FB9}">
            <xm:f>NOT(ISERROR(SEARCH($Q$12,Q72)))</xm:f>
            <xm:f>$Q$12</xm:f>
            <x14:dxf>
              <fill>
                <patternFill>
                  <bgColor rgb="FFFFFF00"/>
                </patternFill>
              </fill>
            </x14:dxf>
          </x14:cfRule>
          <x14:cfRule type="containsText" priority="9554" operator="containsText" id="{425E440D-3FFE-416C-A01F-A7E57728861B}">
            <xm:f>NOT(ISERROR(SEARCH($Q$12,Q72)))</xm:f>
            <xm:f>$Q$12</xm:f>
            <x14:dxf>
              <fill>
                <patternFill>
                  <bgColor theme="9" tint="0.39994506668294322"/>
                </patternFill>
              </fill>
            </x14:dxf>
          </x14:cfRule>
          <x14:cfRule type="containsText" priority="9553" operator="containsText" id="{BC541477-AA73-4BD5-AEC5-1B84AE9291AA}">
            <xm:f>NOT(ISERROR(SEARCH($Q$12,Q72)))</xm:f>
            <xm:f>$Q$12</xm:f>
            <x14:dxf>
              <fill>
                <patternFill>
                  <bgColor theme="9" tint="0.79998168889431442"/>
                </patternFill>
              </fill>
            </x14:dxf>
          </x14:cfRule>
          <x14:cfRule type="containsText" priority="9561" operator="containsText" id="{E8F4AA29-6545-4D6F-A48E-7BB1EC206C5F}">
            <xm:f>NOT(ISERROR(SEARCH($Q$12,Q72)))</xm:f>
            <xm:f>$Q$12</xm:f>
            <x14:dxf>
              <fill>
                <patternFill>
                  <bgColor theme="9"/>
                </patternFill>
              </fill>
            </x14:dxf>
          </x14:cfRule>
          <x14:cfRule type="containsText" priority="9560" operator="containsText" id="{A6011882-39C2-4C6C-AEA3-36DA56150734}">
            <xm:f>NOT(ISERROR(SEARCH($Q$12,Q72)))</xm:f>
            <xm:f>$Q$12</xm:f>
            <x14:dxf>
              <fill>
                <patternFill>
                  <bgColor theme="9" tint="0.59996337778862885"/>
                </patternFill>
              </fill>
            </x14:dxf>
          </x14:cfRule>
          <x14:cfRule type="containsText" priority="9559" operator="containsText" id="{842C9E28-7774-4E8A-9685-15D6F3B8E760}">
            <xm:f>NOT(ISERROR(SEARCH($Q$12,Q72)))</xm:f>
            <xm:f>$Q$12</xm:f>
            <x14:dxf>
              <fill>
                <patternFill>
                  <bgColor rgb="FFFF0000"/>
                </patternFill>
              </fill>
            </x14:dxf>
          </x14:cfRule>
          <x14:cfRule type="containsText" priority="9563" operator="containsText" id="{CE69A2F4-6D49-4AC1-BD78-0955ABA6BA3A}">
            <xm:f>NOT(ISERROR(SEARCH($Q$12,Q72)))</xm:f>
            <xm:f>$Q$12</xm:f>
            <x14:dxf>
              <fill>
                <patternFill>
                  <bgColor rgb="FFFFC000"/>
                </patternFill>
              </fill>
            </x14:dxf>
          </x14:cfRule>
          <x14:cfRule type="containsText" priority="9552" operator="containsText" id="{6B8D47A1-5723-49F3-BE90-C66F1C294B57}">
            <xm:f>NOT(ISERROR(SEARCH($Q$12,Q72)))</xm:f>
            <xm:f>$Q$12</xm:f>
            <x14:dxf>
              <fill>
                <patternFill>
                  <bgColor rgb="FFFFFF00"/>
                </patternFill>
              </fill>
            </x14:dxf>
          </x14:cfRule>
          <x14:cfRule type="containsText" priority="9558" operator="containsText" id="{8582686A-FC4F-4FA3-A847-A1F799A6A626}">
            <xm:f>NOT(ISERROR(SEARCH($Q$12,Q72)))</xm:f>
            <xm:f>$Q$12</xm:f>
            <x14:dxf>
              <fill>
                <patternFill>
                  <bgColor rgb="FFFFC000"/>
                </patternFill>
              </fill>
            </x14:dxf>
          </x14:cfRule>
          <x14:cfRule type="containsText" priority="9557" operator="containsText" id="{A582259E-257C-4831-90C1-E322545E1DDB}">
            <xm:f>NOT(ISERROR(SEARCH($Q$12,Q72)))</xm:f>
            <xm:f>$Q$12</xm:f>
            <x14:dxf>
              <fill>
                <patternFill>
                  <bgColor rgb="FFFFFF00"/>
                </patternFill>
              </fill>
            </x14:dxf>
          </x14:cfRule>
          <xm:sqref>Q72</xm:sqref>
        </x14:conditionalFormatting>
        <x14:conditionalFormatting xmlns:xm="http://schemas.microsoft.com/office/excel/2006/main">
          <x14:cfRule type="containsText" priority="9423" operator="containsText" id="{CFC58BA2-3F6D-47C2-81B2-C408695AF8CE}">
            <xm:f>NOT(ISERROR(SEARCH($Q$12,Q82)))</xm:f>
            <xm:f>$Q$12</xm:f>
            <x14:dxf>
              <fill>
                <patternFill>
                  <bgColor theme="9" tint="0.39994506668294322"/>
                </patternFill>
              </fill>
            </x14:dxf>
          </x14:cfRule>
          <x14:cfRule type="containsText" priority="9425" operator="containsText" id="{A61FB89C-A4B5-4A25-A197-6EBF7A4AA943}">
            <xm:f>NOT(ISERROR(SEARCH($Q$12,Q82)))</xm:f>
            <xm:f>$Q$12</xm:f>
            <x14:dxf/>
          </x14:cfRule>
          <x14:cfRule type="containsText" priority="9426" operator="containsText" id="{05975ED6-A843-498E-95E5-33364A6EF606}">
            <xm:f>NOT(ISERROR(SEARCH($Q$12,Q82)))</xm:f>
            <xm:f>$Q$12</xm:f>
            <x14:dxf>
              <fill>
                <patternFill>
                  <bgColor rgb="FFFFFF00"/>
                </patternFill>
              </fill>
            </x14:dxf>
          </x14:cfRule>
          <x14:cfRule type="containsText" priority="9427" operator="containsText" id="{E72D5683-2CDA-453E-9982-704C6E44B2FE}">
            <xm:f>NOT(ISERROR(SEARCH($Q$12,Q82)))</xm:f>
            <xm:f>$Q$12</xm:f>
            <x14:dxf>
              <fill>
                <patternFill>
                  <bgColor rgb="FFFFC000"/>
                </patternFill>
              </fill>
            </x14:dxf>
          </x14:cfRule>
          <x14:cfRule type="containsText" priority="9428" operator="containsText" id="{04FB3EB5-D4AD-46CB-A95D-C5EA6718336E}">
            <xm:f>NOT(ISERROR(SEARCH($Q$12,Q82)))</xm:f>
            <xm:f>$Q$12</xm:f>
            <x14:dxf>
              <fill>
                <patternFill>
                  <bgColor rgb="FFFF0000"/>
                </patternFill>
              </fill>
            </x14:dxf>
          </x14:cfRule>
          <x14:cfRule type="containsText" priority="9429" operator="containsText" id="{E3B94358-4FAC-42EE-A056-1461676FC98B}">
            <xm:f>NOT(ISERROR(SEARCH($Q$12,Q82)))</xm:f>
            <xm:f>$Q$12</xm:f>
            <x14:dxf>
              <fill>
                <patternFill>
                  <bgColor theme="9" tint="0.59996337778862885"/>
                </patternFill>
              </fill>
            </x14:dxf>
          </x14:cfRule>
          <x14:cfRule type="containsText" priority="9430" operator="containsText" id="{779EE6D4-E613-47EB-AD68-B1B64FAD8862}">
            <xm:f>NOT(ISERROR(SEARCH($Q$12,Q82)))</xm:f>
            <xm:f>$Q$12</xm:f>
            <x14:dxf>
              <fill>
                <patternFill>
                  <bgColor theme="9"/>
                </patternFill>
              </fill>
            </x14:dxf>
          </x14:cfRule>
          <x14:cfRule type="containsText" priority="9424" operator="containsText" id="{9C63170D-EC4E-4BD1-AE03-ED1BC8F54A6F}">
            <xm:f>NOT(ISERROR(SEARCH($Q$12,Q82)))</xm:f>
            <xm:f>$Q$12</xm:f>
            <x14:dxf>
              <fill>
                <patternFill>
                  <bgColor rgb="FF00B050"/>
                </patternFill>
              </fill>
            </x14:dxf>
          </x14:cfRule>
          <x14:cfRule type="containsText" priority="9422" operator="containsText" id="{227309FC-AEB2-4567-AFF1-299FBB518FA3}">
            <xm:f>NOT(ISERROR(SEARCH($Q$12,Q82)))</xm:f>
            <xm:f>$Q$12</xm:f>
            <x14:dxf>
              <fill>
                <patternFill>
                  <bgColor theme="9" tint="0.79998168889431442"/>
                </patternFill>
              </fill>
            </x14:dxf>
          </x14:cfRule>
          <x14:cfRule type="containsText" priority="9421" operator="containsText" id="{724D2053-A5FA-4C98-81A8-B8E25CE98282}">
            <xm:f>NOT(ISERROR(SEARCH($Q$12,Q82)))</xm:f>
            <xm:f>$Q$12</xm:f>
            <x14:dxf>
              <fill>
                <patternFill>
                  <bgColor rgb="FFFFFF00"/>
                </patternFill>
              </fill>
            </x14:dxf>
          </x14:cfRule>
          <x14:cfRule type="containsText" priority="9431" operator="containsText" id="{36FEA96C-5F7D-4833-84F5-A4329B7DEA7C}">
            <xm:f>NOT(ISERROR(SEARCH($Q$12,Q82)))</xm:f>
            <xm:f>$Q$12</xm:f>
            <x14:dxf>
              <fill>
                <patternFill>
                  <bgColor rgb="FFFFFF00"/>
                </patternFill>
              </fill>
            </x14:dxf>
          </x14:cfRule>
          <x14:cfRule type="containsText" priority="9432" operator="containsText" id="{B10AD279-A53D-415D-920F-DBF66E053C65}">
            <xm:f>NOT(ISERROR(SEARCH($Q$12,Q82)))</xm:f>
            <xm:f>$Q$12</xm:f>
            <x14:dxf>
              <fill>
                <patternFill>
                  <bgColor rgb="FFFFC000"/>
                </patternFill>
              </fill>
            </x14:dxf>
          </x14:cfRule>
          <x14:cfRule type="containsText" priority="9433" operator="containsText" id="{B9AB6AAE-FA8D-4070-A6F7-E76003E1658A}">
            <xm:f>NOT(ISERROR(SEARCH($Q$12,Q82)))</xm:f>
            <xm:f>$Q$12</xm:f>
            <x14:dxf>
              <fill>
                <patternFill>
                  <bgColor rgb="FFFF0000"/>
                </patternFill>
              </fill>
            </x14:dxf>
          </x14:cfRule>
          <xm:sqref>Q82</xm:sqref>
        </x14:conditionalFormatting>
        <x14:conditionalFormatting xmlns:xm="http://schemas.microsoft.com/office/excel/2006/main">
          <x14:cfRule type="containsText" priority="9373" operator="containsText" id="{CEB04013-09B0-409D-BFC9-E9C468543922}">
            <xm:f>NOT(ISERROR(SEARCH($Q$12,Q92)))</xm:f>
            <xm:f>$Q$12</xm:f>
            <x14:dxf>
              <fill>
                <patternFill>
                  <bgColor rgb="FFFFFF00"/>
                </patternFill>
              </fill>
            </x14:dxf>
          </x14:cfRule>
          <x14:cfRule type="containsText" priority="9383" operator="containsText" id="{28810F5B-2441-499B-A0AC-DE0B937515BF}">
            <xm:f>NOT(ISERROR(SEARCH($Q$12,Q92)))</xm:f>
            <xm:f>$Q$12</xm:f>
            <x14:dxf>
              <fill>
                <patternFill>
                  <bgColor rgb="FFFFFF00"/>
                </patternFill>
              </fill>
            </x14:dxf>
          </x14:cfRule>
          <x14:cfRule type="containsText" priority="9376" operator="containsText" id="{E4C69FE6-86AF-4280-ACAA-65D1A2A90889}">
            <xm:f>NOT(ISERROR(SEARCH($Q$12,Q92)))</xm:f>
            <xm:f>$Q$12</xm:f>
            <x14:dxf>
              <fill>
                <patternFill>
                  <bgColor rgb="FF00B050"/>
                </patternFill>
              </fill>
            </x14:dxf>
          </x14:cfRule>
          <x14:cfRule type="containsText" priority="9377" operator="containsText" id="{AC5150C9-07E3-423A-9E14-B6E2A85ECFEE}">
            <xm:f>NOT(ISERROR(SEARCH($Q$12,Q92)))</xm:f>
            <xm:f>$Q$12</xm:f>
            <x14:dxf/>
          </x14:cfRule>
          <x14:cfRule type="containsText" priority="9378" operator="containsText" id="{D9283D76-E465-4F6F-8AAF-49ABBA9CDA78}">
            <xm:f>NOT(ISERROR(SEARCH($Q$12,Q92)))</xm:f>
            <xm:f>$Q$12</xm:f>
            <x14:dxf>
              <fill>
                <patternFill>
                  <bgColor rgb="FFFFFF00"/>
                </patternFill>
              </fill>
            </x14:dxf>
          </x14:cfRule>
          <x14:cfRule type="containsText" priority="9379" operator="containsText" id="{476139A3-E5B9-4978-9D62-6792D7A9E6AA}">
            <xm:f>NOT(ISERROR(SEARCH($Q$12,Q92)))</xm:f>
            <xm:f>$Q$12</xm:f>
            <x14:dxf>
              <fill>
                <patternFill>
                  <bgColor rgb="FFFFC000"/>
                </patternFill>
              </fill>
            </x14:dxf>
          </x14:cfRule>
          <x14:cfRule type="containsText" priority="9380" operator="containsText" id="{5F084E07-4F9A-4CEF-A8EB-1F1D9B1629C9}">
            <xm:f>NOT(ISERROR(SEARCH($Q$12,Q92)))</xm:f>
            <xm:f>$Q$12</xm:f>
            <x14:dxf>
              <fill>
                <patternFill>
                  <bgColor rgb="FFFF0000"/>
                </patternFill>
              </fill>
            </x14:dxf>
          </x14:cfRule>
          <x14:cfRule type="containsText" priority="9384" operator="containsText" id="{AF5038C8-47D8-49A5-B00F-503FDDAD46AC}">
            <xm:f>NOT(ISERROR(SEARCH($Q$12,Q92)))</xm:f>
            <xm:f>$Q$12</xm:f>
            <x14:dxf>
              <fill>
                <patternFill>
                  <bgColor rgb="FFFFC000"/>
                </patternFill>
              </fill>
            </x14:dxf>
          </x14:cfRule>
          <x14:cfRule type="containsText" priority="9385" operator="containsText" id="{6CC3270C-EE00-44AA-B285-A98CD09DDC4B}">
            <xm:f>NOT(ISERROR(SEARCH($Q$12,Q92)))</xm:f>
            <xm:f>$Q$12</xm:f>
            <x14:dxf>
              <fill>
                <patternFill>
                  <bgColor rgb="FFFF0000"/>
                </patternFill>
              </fill>
            </x14:dxf>
          </x14:cfRule>
          <x14:cfRule type="containsText" priority="9374" operator="containsText" id="{3838778A-7A8D-4569-A53A-E4F760D03908}">
            <xm:f>NOT(ISERROR(SEARCH($Q$12,Q92)))</xm:f>
            <xm:f>$Q$12</xm:f>
            <x14:dxf>
              <fill>
                <patternFill>
                  <bgColor theme="9" tint="0.79998168889431442"/>
                </patternFill>
              </fill>
            </x14:dxf>
          </x14:cfRule>
          <x14:cfRule type="containsText" priority="9381" operator="containsText" id="{70FAA914-602F-405B-B051-18B9F30A08EC}">
            <xm:f>NOT(ISERROR(SEARCH($Q$12,Q92)))</xm:f>
            <xm:f>$Q$12</xm:f>
            <x14:dxf>
              <fill>
                <patternFill>
                  <bgColor theme="9" tint="0.59996337778862885"/>
                </patternFill>
              </fill>
            </x14:dxf>
          </x14:cfRule>
          <x14:cfRule type="containsText" priority="9375" operator="containsText" id="{0F29A0D7-BBC6-4C1F-9FB8-1138C44DE41E}">
            <xm:f>NOT(ISERROR(SEARCH($Q$12,Q92)))</xm:f>
            <xm:f>$Q$12</xm:f>
            <x14:dxf>
              <fill>
                <patternFill>
                  <bgColor theme="9" tint="0.39994506668294322"/>
                </patternFill>
              </fill>
            </x14:dxf>
          </x14:cfRule>
          <x14:cfRule type="containsText" priority="9382" operator="containsText" id="{77B7D456-26A8-428B-9754-E572AC14179A}">
            <xm:f>NOT(ISERROR(SEARCH($Q$12,Q92)))</xm:f>
            <xm:f>$Q$12</xm:f>
            <x14:dxf>
              <fill>
                <patternFill>
                  <bgColor theme="9"/>
                </patternFill>
              </fill>
            </x14:dxf>
          </x14:cfRule>
          <xm:sqref>Q92</xm:sqref>
        </x14:conditionalFormatting>
        <x14:conditionalFormatting xmlns:xm="http://schemas.microsoft.com/office/excel/2006/main">
          <x14:cfRule type="containsText" priority="9325" operator="containsText" id="{0E7CB1AE-7F3E-48E3-8599-E8642274AF93}">
            <xm:f>NOT(ISERROR(SEARCH($Q$12,Q102)))</xm:f>
            <xm:f>$Q$12</xm:f>
            <x14:dxf>
              <fill>
                <patternFill>
                  <bgColor rgb="FFFFFF00"/>
                </patternFill>
              </fill>
            </x14:dxf>
          </x14:cfRule>
          <x14:cfRule type="containsText" priority="9326" operator="containsText" id="{BF0374A1-7036-47B5-8131-1A3CCA0B9BE5}">
            <xm:f>NOT(ISERROR(SEARCH($Q$12,Q102)))</xm:f>
            <xm:f>$Q$12</xm:f>
            <x14:dxf>
              <fill>
                <patternFill>
                  <bgColor theme="9" tint="0.79998168889431442"/>
                </patternFill>
              </fill>
            </x14:dxf>
          </x14:cfRule>
          <x14:cfRule type="containsText" priority="9327" operator="containsText" id="{A7B339D3-5D4F-4138-B7AF-01072CFEAB6F}">
            <xm:f>NOT(ISERROR(SEARCH($Q$12,Q102)))</xm:f>
            <xm:f>$Q$12</xm:f>
            <x14:dxf>
              <fill>
                <patternFill>
                  <bgColor theme="9" tint="0.39994506668294322"/>
                </patternFill>
              </fill>
            </x14:dxf>
          </x14:cfRule>
          <x14:cfRule type="containsText" priority="9328" operator="containsText" id="{81AC729A-31A1-48EF-B5CC-250CE9E06771}">
            <xm:f>NOT(ISERROR(SEARCH($Q$12,Q102)))</xm:f>
            <xm:f>$Q$12</xm:f>
            <x14:dxf>
              <fill>
                <patternFill>
                  <bgColor rgb="FF00B050"/>
                </patternFill>
              </fill>
            </x14:dxf>
          </x14:cfRule>
          <x14:cfRule type="containsText" priority="9329" operator="containsText" id="{F0E75846-C654-466D-9199-D8998D68DE8D}">
            <xm:f>NOT(ISERROR(SEARCH($Q$12,Q102)))</xm:f>
            <xm:f>$Q$12</xm:f>
            <x14:dxf/>
          </x14:cfRule>
          <x14:cfRule type="containsText" priority="9330" operator="containsText" id="{7A058E91-C76D-4F06-AC32-78E1ED3B1387}">
            <xm:f>NOT(ISERROR(SEARCH($Q$12,Q102)))</xm:f>
            <xm:f>$Q$12</xm:f>
            <x14:dxf>
              <fill>
                <patternFill>
                  <bgColor rgb="FFFFFF00"/>
                </patternFill>
              </fill>
            </x14:dxf>
          </x14:cfRule>
          <x14:cfRule type="containsText" priority="9331" operator="containsText" id="{C1DF67FD-6D8F-4C67-B10A-AAF89B62DF34}">
            <xm:f>NOT(ISERROR(SEARCH($Q$12,Q102)))</xm:f>
            <xm:f>$Q$12</xm:f>
            <x14:dxf>
              <fill>
                <patternFill>
                  <bgColor rgb="FFFFC000"/>
                </patternFill>
              </fill>
            </x14:dxf>
          </x14:cfRule>
          <x14:cfRule type="containsText" priority="9332" operator="containsText" id="{881E1F5F-B4C6-482E-A73F-21C6449CD40D}">
            <xm:f>NOT(ISERROR(SEARCH($Q$12,Q102)))</xm:f>
            <xm:f>$Q$12</xm:f>
            <x14:dxf>
              <fill>
                <patternFill>
                  <bgColor rgb="FFFF0000"/>
                </patternFill>
              </fill>
            </x14:dxf>
          </x14:cfRule>
          <x14:cfRule type="containsText" priority="9333" operator="containsText" id="{6CE760AA-60E3-4847-A287-D40E85B1CEE5}">
            <xm:f>NOT(ISERROR(SEARCH($Q$12,Q102)))</xm:f>
            <xm:f>$Q$12</xm:f>
            <x14:dxf>
              <fill>
                <patternFill>
                  <bgColor theme="9" tint="0.59996337778862885"/>
                </patternFill>
              </fill>
            </x14:dxf>
          </x14:cfRule>
          <x14:cfRule type="containsText" priority="9334" operator="containsText" id="{6F77EE5E-FB51-47C9-A3D1-64537CC74BC2}">
            <xm:f>NOT(ISERROR(SEARCH($Q$12,Q102)))</xm:f>
            <xm:f>$Q$12</xm:f>
            <x14:dxf>
              <fill>
                <patternFill>
                  <bgColor theme="9"/>
                </patternFill>
              </fill>
            </x14:dxf>
          </x14:cfRule>
          <x14:cfRule type="containsText" priority="9335" operator="containsText" id="{1EB48709-73D5-4D03-8422-0765F3730104}">
            <xm:f>NOT(ISERROR(SEARCH($Q$12,Q102)))</xm:f>
            <xm:f>$Q$12</xm:f>
            <x14:dxf>
              <fill>
                <patternFill>
                  <bgColor rgb="FFFFFF00"/>
                </patternFill>
              </fill>
            </x14:dxf>
          </x14:cfRule>
          <x14:cfRule type="containsText" priority="9336" operator="containsText" id="{0A72A918-B428-45DD-8F50-1338625885A0}">
            <xm:f>NOT(ISERROR(SEARCH($Q$12,Q102)))</xm:f>
            <xm:f>$Q$12</xm:f>
            <x14:dxf>
              <fill>
                <patternFill>
                  <bgColor rgb="FFFFC000"/>
                </patternFill>
              </fill>
            </x14:dxf>
          </x14:cfRule>
          <x14:cfRule type="containsText" priority="9337" operator="containsText" id="{1E1DCC52-A0FC-4877-88AC-218447025029}">
            <xm:f>NOT(ISERROR(SEARCH($Q$12,Q102)))</xm:f>
            <xm:f>$Q$12</xm:f>
            <x14:dxf>
              <fill>
                <patternFill>
                  <bgColor rgb="FFFF0000"/>
                </patternFill>
              </fill>
            </x14:dxf>
          </x14:cfRule>
          <xm:sqref>Q102</xm:sqref>
        </x14:conditionalFormatting>
        <x14:conditionalFormatting xmlns:xm="http://schemas.microsoft.com/office/excel/2006/main">
          <x14:cfRule type="containsText" priority="9289" operator="containsText" id="{11ED5EEC-6977-43B9-8D9D-FF718F6006DD}">
            <xm:f>NOT(ISERROR(SEARCH($Q$12,Q112)))</xm:f>
            <xm:f>$Q$12</xm:f>
            <x14:dxf>
              <fill>
                <patternFill>
                  <bgColor rgb="FFFF0000"/>
                </patternFill>
              </fill>
            </x14:dxf>
          </x14:cfRule>
          <x14:cfRule type="containsText" priority="9288" operator="containsText" id="{8FBAE004-91F3-4EAF-9BFF-B89478E51CB7}">
            <xm:f>NOT(ISERROR(SEARCH($Q$12,Q112)))</xm:f>
            <xm:f>$Q$12</xm:f>
            <x14:dxf>
              <fill>
                <patternFill>
                  <bgColor rgb="FFFFC000"/>
                </patternFill>
              </fill>
            </x14:dxf>
          </x14:cfRule>
          <x14:cfRule type="containsText" priority="9277" operator="containsText" id="{FC9C38BE-1A01-415E-99AD-9E7C9F549A9F}">
            <xm:f>NOT(ISERROR(SEARCH($Q$12,Q112)))</xm:f>
            <xm:f>$Q$12</xm:f>
            <x14:dxf>
              <fill>
                <patternFill>
                  <bgColor rgb="FFFFFF00"/>
                </patternFill>
              </fill>
            </x14:dxf>
          </x14:cfRule>
          <x14:cfRule type="containsText" priority="9286" operator="containsText" id="{71467833-DFB4-4C85-8396-2481E650BD99}">
            <xm:f>NOT(ISERROR(SEARCH($Q$12,Q112)))</xm:f>
            <xm:f>$Q$12</xm:f>
            <x14:dxf>
              <fill>
                <patternFill>
                  <bgColor theme="9"/>
                </patternFill>
              </fill>
            </x14:dxf>
          </x14:cfRule>
          <x14:cfRule type="containsText" priority="9279" operator="containsText" id="{2B3A7898-9C81-49A2-A05D-ACEF3402838B}">
            <xm:f>NOT(ISERROR(SEARCH($Q$12,Q112)))</xm:f>
            <xm:f>$Q$12</xm:f>
            <x14:dxf>
              <fill>
                <patternFill>
                  <bgColor theme="9" tint="0.39994506668294322"/>
                </patternFill>
              </fill>
            </x14:dxf>
          </x14:cfRule>
          <x14:cfRule type="containsText" priority="9280" operator="containsText" id="{6DA82CDF-A9DE-4073-B94F-06FAE6CD4DA1}">
            <xm:f>NOT(ISERROR(SEARCH($Q$12,Q112)))</xm:f>
            <xm:f>$Q$12</xm:f>
            <x14:dxf>
              <fill>
                <patternFill>
                  <bgColor rgb="FF00B050"/>
                </patternFill>
              </fill>
            </x14:dxf>
          </x14:cfRule>
          <x14:cfRule type="containsText" priority="9281" operator="containsText" id="{610C9147-1335-4EA8-91AA-609C6A8064FA}">
            <xm:f>NOT(ISERROR(SEARCH($Q$12,Q112)))</xm:f>
            <xm:f>$Q$12</xm:f>
            <x14:dxf/>
          </x14:cfRule>
          <x14:cfRule type="containsText" priority="9282" operator="containsText" id="{E5A44B07-46A1-4E16-BF40-5FB1B8FEC3C5}">
            <xm:f>NOT(ISERROR(SEARCH($Q$12,Q112)))</xm:f>
            <xm:f>$Q$12</xm:f>
            <x14:dxf>
              <fill>
                <patternFill>
                  <bgColor rgb="FFFFFF00"/>
                </patternFill>
              </fill>
            </x14:dxf>
          </x14:cfRule>
          <x14:cfRule type="containsText" priority="9283" operator="containsText" id="{088AA1B9-5288-41E9-A768-E4BCFF9226F8}">
            <xm:f>NOT(ISERROR(SEARCH($Q$12,Q112)))</xm:f>
            <xm:f>$Q$12</xm:f>
            <x14:dxf>
              <fill>
                <patternFill>
                  <bgColor rgb="FFFFC000"/>
                </patternFill>
              </fill>
            </x14:dxf>
          </x14:cfRule>
          <x14:cfRule type="containsText" priority="9284" operator="containsText" id="{112E96E9-3709-48B3-86A1-834A02944625}">
            <xm:f>NOT(ISERROR(SEARCH($Q$12,Q112)))</xm:f>
            <xm:f>$Q$12</xm:f>
            <x14:dxf>
              <fill>
                <patternFill>
                  <bgColor rgb="FFFF0000"/>
                </patternFill>
              </fill>
            </x14:dxf>
          </x14:cfRule>
          <x14:cfRule type="containsText" priority="9287" operator="containsText" id="{FA3571F8-FBF1-4189-91A4-AD3A557E5CB3}">
            <xm:f>NOT(ISERROR(SEARCH($Q$12,Q112)))</xm:f>
            <xm:f>$Q$12</xm:f>
            <x14:dxf>
              <fill>
                <patternFill>
                  <bgColor rgb="FFFFFF00"/>
                </patternFill>
              </fill>
            </x14:dxf>
          </x14:cfRule>
          <x14:cfRule type="containsText" priority="9278" operator="containsText" id="{71C4E2E6-2292-4C24-A82B-D98BFBAE200B}">
            <xm:f>NOT(ISERROR(SEARCH($Q$12,Q112)))</xm:f>
            <xm:f>$Q$12</xm:f>
            <x14:dxf>
              <fill>
                <patternFill>
                  <bgColor theme="9" tint="0.79998168889431442"/>
                </patternFill>
              </fill>
            </x14:dxf>
          </x14:cfRule>
          <x14:cfRule type="containsText" priority="9285" operator="containsText" id="{BE8CCD4E-AD65-4F82-BD0D-3E39A3F064F1}">
            <xm:f>NOT(ISERROR(SEARCH($Q$12,Q112)))</xm:f>
            <xm:f>$Q$12</xm:f>
            <x14:dxf>
              <fill>
                <patternFill>
                  <bgColor theme="9" tint="0.59996337778862885"/>
                </patternFill>
              </fill>
            </x14:dxf>
          </x14:cfRule>
          <xm:sqref>Q112</xm:sqref>
        </x14:conditionalFormatting>
        <x14:conditionalFormatting xmlns:xm="http://schemas.microsoft.com/office/excel/2006/main">
          <x14:cfRule type="containsText" priority="9064" operator="containsText" id="{B52FA34B-10E9-4AB3-8919-878B376923E4}">
            <xm:f>NOT(ISERROR(SEARCH($Q$12,Q122)))</xm:f>
            <xm:f>$Q$12</xm:f>
            <x14:dxf/>
          </x14:cfRule>
          <x14:cfRule type="containsText" priority="9072" operator="containsText" id="{57D0D798-CE42-4CD0-839B-42F16B59C11B}">
            <xm:f>NOT(ISERROR(SEARCH($Q$12,Q122)))</xm:f>
            <xm:f>$Q$12</xm:f>
            <x14:dxf>
              <fill>
                <patternFill>
                  <bgColor rgb="FFFF0000"/>
                </patternFill>
              </fill>
            </x14:dxf>
          </x14:cfRule>
          <x14:cfRule type="containsText" priority="9071" operator="containsText" id="{7337AE2A-6E9F-4955-B26A-30E3E02A038D}">
            <xm:f>NOT(ISERROR(SEARCH($Q$12,Q122)))</xm:f>
            <xm:f>$Q$12</xm:f>
            <x14:dxf>
              <fill>
                <patternFill>
                  <bgColor rgb="FFFFC000"/>
                </patternFill>
              </fill>
            </x14:dxf>
          </x14:cfRule>
          <x14:cfRule type="containsText" priority="9063" operator="containsText" id="{BA979A7F-3E8F-45E6-9B1D-B0A382F3417B}">
            <xm:f>NOT(ISERROR(SEARCH($Q$12,Q122)))</xm:f>
            <xm:f>$Q$12</xm:f>
            <x14:dxf>
              <fill>
                <patternFill>
                  <bgColor rgb="FF00B050"/>
                </patternFill>
              </fill>
            </x14:dxf>
          </x14:cfRule>
          <x14:cfRule type="containsText" priority="9062" operator="containsText" id="{912CF8F0-12A8-47C7-8E07-34BE663B881F}">
            <xm:f>NOT(ISERROR(SEARCH($Q$12,Q122)))</xm:f>
            <xm:f>$Q$12</xm:f>
            <x14:dxf>
              <fill>
                <patternFill>
                  <bgColor theme="9" tint="0.39994506668294322"/>
                </patternFill>
              </fill>
            </x14:dxf>
          </x14:cfRule>
          <x14:cfRule type="containsText" priority="9061" operator="containsText" id="{D56D7D99-FF47-48FC-BC0E-99C8BD14F4C6}">
            <xm:f>NOT(ISERROR(SEARCH($Q$12,Q122)))</xm:f>
            <xm:f>$Q$12</xm:f>
            <x14:dxf>
              <fill>
                <patternFill>
                  <bgColor theme="9" tint="0.79998168889431442"/>
                </patternFill>
              </fill>
            </x14:dxf>
          </x14:cfRule>
          <x14:cfRule type="containsText" priority="9060" operator="containsText" id="{12DCE90A-858D-451F-882B-4BF06386AD63}">
            <xm:f>NOT(ISERROR(SEARCH($Q$12,Q122)))</xm:f>
            <xm:f>$Q$12</xm:f>
            <x14:dxf>
              <fill>
                <patternFill>
                  <bgColor rgb="FFFFFF00"/>
                </patternFill>
              </fill>
            </x14:dxf>
          </x14:cfRule>
          <x14:cfRule type="containsText" priority="9070" operator="containsText" id="{D4CB7FF2-A5B7-4F0D-AC0E-D79E4A6C108C}">
            <xm:f>NOT(ISERROR(SEARCH($Q$12,Q122)))</xm:f>
            <xm:f>$Q$12</xm:f>
            <x14:dxf>
              <fill>
                <patternFill>
                  <bgColor rgb="FFFFFF00"/>
                </patternFill>
              </fill>
            </x14:dxf>
          </x14:cfRule>
          <x14:cfRule type="containsText" priority="9067" operator="containsText" id="{E3B617A8-1957-43D0-B04C-D8865423F209}">
            <xm:f>NOT(ISERROR(SEARCH($Q$12,Q122)))</xm:f>
            <xm:f>$Q$12</xm:f>
            <x14:dxf>
              <fill>
                <patternFill>
                  <bgColor rgb="FFFF0000"/>
                </patternFill>
              </fill>
            </x14:dxf>
          </x14:cfRule>
          <x14:cfRule type="containsText" priority="9069" operator="containsText" id="{0DD10183-BDF7-45F4-B2FF-7CEB62F61729}">
            <xm:f>NOT(ISERROR(SEARCH($Q$12,Q122)))</xm:f>
            <xm:f>$Q$12</xm:f>
            <x14:dxf>
              <fill>
                <patternFill>
                  <bgColor theme="9"/>
                </patternFill>
              </fill>
            </x14:dxf>
          </x14:cfRule>
          <x14:cfRule type="containsText" priority="9068" operator="containsText" id="{E90A72FD-F942-4F46-A3D5-F13D4D283483}">
            <xm:f>NOT(ISERROR(SEARCH($Q$12,Q122)))</xm:f>
            <xm:f>$Q$12</xm:f>
            <x14:dxf>
              <fill>
                <patternFill>
                  <bgColor theme="9" tint="0.59996337778862885"/>
                </patternFill>
              </fill>
            </x14:dxf>
          </x14:cfRule>
          <x14:cfRule type="containsText" priority="9066" operator="containsText" id="{A7072DFF-862E-4088-8920-8F75F0BAECFE}">
            <xm:f>NOT(ISERROR(SEARCH($Q$12,Q122)))</xm:f>
            <xm:f>$Q$12</xm:f>
            <x14:dxf>
              <fill>
                <patternFill>
                  <bgColor rgb="FFFFC000"/>
                </patternFill>
              </fill>
            </x14:dxf>
          </x14:cfRule>
          <x14:cfRule type="containsText" priority="9065" operator="containsText" id="{D13216B9-F242-474C-BE63-17AEE6636E74}">
            <xm:f>NOT(ISERROR(SEARCH($Q$12,Q122)))</xm:f>
            <xm:f>$Q$12</xm:f>
            <x14:dxf>
              <fill>
                <patternFill>
                  <bgColor rgb="FFFFFF00"/>
                </patternFill>
              </fill>
            </x14:dxf>
          </x14:cfRule>
          <xm:sqref>Q122</xm:sqref>
        </x14:conditionalFormatting>
        <x14:conditionalFormatting xmlns:xm="http://schemas.microsoft.com/office/excel/2006/main">
          <x14:cfRule type="containsText" priority="8967" operator="containsText" id="{E2798E92-3DE3-4BD4-BF55-68BBA5F6E8B6}">
            <xm:f>NOT(ISERROR(SEARCH($Q$12,Q132)))</xm:f>
            <xm:f>$Q$12</xm:f>
            <x14:dxf>
              <fill>
                <patternFill>
                  <bgColor rgb="FFFFC000"/>
                </patternFill>
              </fill>
            </x14:dxf>
          </x14:cfRule>
          <x14:cfRule type="containsText" priority="8966" operator="containsText" id="{D50D51C8-D209-4655-8699-1F90386BF8E5}">
            <xm:f>NOT(ISERROR(SEARCH($Q$12,Q132)))</xm:f>
            <xm:f>$Q$12</xm:f>
            <x14:dxf>
              <fill>
                <patternFill>
                  <bgColor rgb="FFFFFF00"/>
                </patternFill>
              </fill>
            </x14:dxf>
          </x14:cfRule>
          <x14:cfRule type="containsText" priority="8973" operator="containsText" id="{41928C75-60B3-4476-B21B-9B5EA8B57D65}">
            <xm:f>NOT(ISERROR(SEARCH($Q$12,Q132)))</xm:f>
            <xm:f>$Q$12</xm:f>
            <x14:dxf>
              <fill>
                <patternFill>
                  <bgColor rgb="FFFF0000"/>
                </patternFill>
              </fill>
            </x14:dxf>
          </x14:cfRule>
          <x14:cfRule type="containsText" priority="8964" operator="containsText" id="{49E10F57-1FC7-4774-98DD-995A7EB3A51A}">
            <xm:f>NOT(ISERROR(SEARCH($Q$12,Q132)))</xm:f>
            <xm:f>$Q$12</xm:f>
            <x14:dxf>
              <fill>
                <patternFill>
                  <bgColor rgb="FF00B050"/>
                </patternFill>
              </fill>
            </x14:dxf>
          </x14:cfRule>
          <x14:cfRule type="containsText" priority="8963" operator="containsText" id="{D0F5A7A6-FAAB-4D2B-8FC5-7C1F36408F3F}">
            <xm:f>NOT(ISERROR(SEARCH($Q$12,Q132)))</xm:f>
            <xm:f>$Q$12</xm:f>
            <x14:dxf>
              <fill>
                <patternFill>
                  <bgColor theme="9" tint="0.39994506668294322"/>
                </patternFill>
              </fill>
            </x14:dxf>
          </x14:cfRule>
          <x14:cfRule type="containsText" priority="8962" operator="containsText" id="{258A5B89-EADA-4A37-96E4-CB46C92E7A31}">
            <xm:f>NOT(ISERROR(SEARCH($Q$12,Q132)))</xm:f>
            <xm:f>$Q$12</xm:f>
            <x14:dxf>
              <fill>
                <patternFill>
                  <bgColor theme="9" tint="0.79998168889431442"/>
                </patternFill>
              </fill>
            </x14:dxf>
          </x14:cfRule>
          <x14:cfRule type="containsText" priority="8961" operator="containsText" id="{F4C59D52-87C6-4188-8F07-4B40217BEE9A}">
            <xm:f>NOT(ISERROR(SEARCH($Q$12,Q132)))</xm:f>
            <xm:f>$Q$12</xm:f>
            <x14:dxf>
              <fill>
                <patternFill>
                  <bgColor rgb="FFFFFF00"/>
                </patternFill>
              </fill>
            </x14:dxf>
          </x14:cfRule>
          <x14:cfRule type="containsText" priority="8972" operator="containsText" id="{5ED0265C-C8AF-4359-A3F9-C82DE03E04CB}">
            <xm:f>NOT(ISERROR(SEARCH($Q$12,Q132)))</xm:f>
            <xm:f>$Q$12</xm:f>
            <x14:dxf>
              <fill>
                <patternFill>
                  <bgColor rgb="FFFFC000"/>
                </patternFill>
              </fill>
            </x14:dxf>
          </x14:cfRule>
          <x14:cfRule type="containsText" priority="8971" operator="containsText" id="{E0F0A71E-30A9-4323-80E9-83DE5E1ED0F6}">
            <xm:f>NOT(ISERROR(SEARCH($Q$12,Q132)))</xm:f>
            <xm:f>$Q$12</xm:f>
            <x14:dxf>
              <fill>
                <patternFill>
                  <bgColor rgb="FFFFFF00"/>
                </patternFill>
              </fill>
            </x14:dxf>
          </x14:cfRule>
          <x14:cfRule type="containsText" priority="8970" operator="containsText" id="{CF27233A-AB7D-4557-B4CF-FF9D3C0CF311}">
            <xm:f>NOT(ISERROR(SEARCH($Q$12,Q132)))</xm:f>
            <xm:f>$Q$12</xm:f>
            <x14:dxf>
              <fill>
                <patternFill>
                  <bgColor theme="9"/>
                </patternFill>
              </fill>
            </x14:dxf>
          </x14:cfRule>
          <x14:cfRule type="containsText" priority="8969" operator="containsText" id="{9756557D-C073-4156-B4D4-A0F497A5A98B}">
            <xm:f>NOT(ISERROR(SEARCH($Q$12,Q132)))</xm:f>
            <xm:f>$Q$12</xm:f>
            <x14:dxf>
              <fill>
                <patternFill>
                  <bgColor theme="9" tint="0.59996337778862885"/>
                </patternFill>
              </fill>
            </x14:dxf>
          </x14:cfRule>
          <x14:cfRule type="containsText" priority="8968" operator="containsText" id="{E8AE34C1-567B-4049-86EE-35966752C754}">
            <xm:f>NOT(ISERROR(SEARCH($Q$12,Q132)))</xm:f>
            <xm:f>$Q$12</xm:f>
            <x14:dxf>
              <fill>
                <patternFill>
                  <bgColor rgb="FFFF0000"/>
                </patternFill>
              </fill>
            </x14:dxf>
          </x14:cfRule>
          <x14:cfRule type="containsText" priority="8965" operator="containsText" id="{855026F2-A3EB-438D-9466-E37F9E8D7AA6}">
            <xm:f>NOT(ISERROR(SEARCH($Q$12,Q132)))</xm:f>
            <xm:f>$Q$12</xm:f>
            <x14:dxf/>
          </x14:cfRule>
          <xm:sqref>Q132</xm:sqref>
        </x14:conditionalFormatting>
        <x14:conditionalFormatting xmlns:xm="http://schemas.microsoft.com/office/excel/2006/main">
          <x14:cfRule type="containsText" priority="8925" operator="containsText" id="{D468AFD4-8CDD-454F-B9F0-B217706F15D5}">
            <xm:f>NOT(ISERROR(SEARCH($Q$12,Q142)))</xm:f>
            <xm:f>$Q$12</xm:f>
            <x14:dxf>
              <fill>
                <patternFill>
                  <bgColor rgb="FFFF0000"/>
                </patternFill>
              </fill>
            </x14:dxf>
          </x14:cfRule>
          <x14:cfRule type="containsText" priority="8924" operator="containsText" id="{7AC24DF6-E1E1-4B82-BC25-0ABF02790F53}">
            <xm:f>NOT(ISERROR(SEARCH($Q$12,Q142)))</xm:f>
            <xm:f>$Q$12</xm:f>
            <x14:dxf>
              <fill>
                <patternFill>
                  <bgColor rgb="FFFFC000"/>
                </patternFill>
              </fill>
            </x14:dxf>
          </x14:cfRule>
          <x14:cfRule type="containsText" priority="8923" operator="containsText" id="{18E139B8-7B4C-4E69-B5FA-E67834C84C30}">
            <xm:f>NOT(ISERROR(SEARCH($Q$12,Q142)))</xm:f>
            <xm:f>$Q$12</xm:f>
            <x14:dxf>
              <fill>
                <patternFill>
                  <bgColor rgb="FFFFFF00"/>
                </patternFill>
              </fill>
            </x14:dxf>
          </x14:cfRule>
          <x14:cfRule type="containsText" priority="8922" operator="containsText" id="{189349D3-8AD1-499F-9755-D4FFEB88343F}">
            <xm:f>NOT(ISERROR(SEARCH($Q$12,Q142)))</xm:f>
            <xm:f>$Q$12</xm:f>
            <x14:dxf>
              <fill>
                <patternFill>
                  <bgColor theme="9"/>
                </patternFill>
              </fill>
            </x14:dxf>
          </x14:cfRule>
          <x14:cfRule type="containsText" priority="8921" operator="containsText" id="{52C61B0E-6DA5-49D1-ABC5-2EFE7D30E2F2}">
            <xm:f>NOT(ISERROR(SEARCH($Q$12,Q142)))</xm:f>
            <xm:f>$Q$12</xm:f>
            <x14:dxf>
              <fill>
                <patternFill>
                  <bgColor theme="9" tint="0.59996337778862885"/>
                </patternFill>
              </fill>
            </x14:dxf>
          </x14:cfRule>
          <x14:cfRule type="containsText" priority="8920" operator="containsText" id="{64260929-E7E5-4928-AE21-1DB6ABCC0478}">
            <xm:f>NOT(ISERROR(SEARCH($Q$12,Q142)))</xm:f>
            <xm:f>$Q$12</xm:f>
            <x14:dxf>
              <fill>
                <patternFill>
                  <bgColor rgb="FFFF0000"/>
                </patternFill>
              </fill>
            </x14:dxf>
          </x14:cfRule>
          <x14:cfRule type="containsText" priority="8919" operator="containsText" id="{56571208-C35E-4DC6-9406-60BBBDCE20BA}">
            <xm:f>NOT(ISERROR(SEARCH($Q$12,Q142)))</xm:f>
            <xm:f>$Q$12</xm:f>
            <x14:dxf>
              <fill>
                <patternFill>
                  <bgColor rgb="FFFFC000"/>
                </patternFill>
              </fill>
            </x14:dxf>
          </x14:cfRule>
          <x14:cfRule type="containsText" priority="8918" operator="containsText" id="{A422F60E-E237-44DD-ABA1-595E1A26FE9B}">
            <xm:f>NOT(ISERROR(SEARCH($Q$12,Q142)))</xm:f>
            <xm:f>$Q$12</xm:f>
            <x14:dxf>
              <fill>
                <patternFill>
                  <bgColor rgb="FFFFFF00"/>
                </patternFill>
              </fill>
            </x14:dxf>
          </x14:cfRule>
          <x14:cfRule type="containsText" priority="8917" operator="containsText" id="{D65AF489-2531-458B-9971-7D9186AA7D64}">
            <xm:f>NOT(ISERROR(SEARCH($Q$12,Q142)))</xm:f>
            <xm:f>$Q$12</xm:f>
            <x14:dxf/>
          </x14:cfRule>
          <x14:cfRule type="containsText" priority="8916" operator="containsText" id="{18D39A52-03E7-4DA0-9DFB-8B1D6F9E6187}">
            <xm:f>NOT(ISERROR(SEARCH($Q$12,Q142)))</xm:f>
            <xm:f>$Q$12</xm:f>
            <x14:dxf>
              <fill>
                <patternFill>
                  <bgColor rgb="FF00B050"/>
                </patternFill>
              </fill>
            </x14:dxf>
          </x14:cfRule>
          <x14:cfRule type="containsText" priority="8915" operator="containsText" id="{E689CDF7-02D5-48C3-868E-1CDD30DF5861}">
            <xm:f>NOT(ISERROR(SEARCH($Q$12,Q142)))</xm:f>
            <xm:f>$Q$12</xm:f>
            <x14:dxf>
              <fill>
                <patternFill>
                  <bgColor theme="9" tint="0.39994506668294322"/>
                </patternFill>
              </fill>
            </x14:dxf>
          </x14:cfRule>
          <x14:cfRule type="containsText" priority="8914" operator="containsText" id="{127C2A68-E130-4091-A296-D01B17AE58EA}">
            <xm:f>NOT(ISERROR(SEARCH($Q$12,Q142)))</xm:f>
            <xm:f>$Q$12</xm:f>
            <x14:dxf>
              <fill>
                <patternFill>
                  <bgColor theme="9" tint="0.79998168889431442"/>
                </patternFill>
              </fill>
            </x14:dxf>
          </x14:cfRule>
          <x14:cfRule type="containsText" priority="8913" operator="containsText" id="{0FC28B3D-594B-47C8-A0D8-8235113C0882}">
            <xm:f>NOT(ISERROR(SEARCH($Q$12,Q142)))</xm:f>
            <xm:f>$Q$12</xm:f>
            <x14:dxf>
              <fill>
                <patternFill>
                  <bgColor rgb="FFFFFF00"/>
                </patternFill>
              </fill>
            </x14:dxf>
          </x14:cfRule>
          <xm:sqref>Q142</xm:sqref>
        </x14:conditionalFormatting>
        <x14:conditionalFormatting xmlns:xm="http://schemas.microsoft.com/office/excel/2006/main">
          <x14:cfRule type="containsText" priority="8760" operator="containsText" id="{E0A9C681-230C-4A3F-9880-C6E9799294A2}">
            <xm:f>NOT(ISERROR(SEARCH($Q$12,Q152)))</xm:f>
            <xm:f>$Q$12</xm:f>
            <x14:dxf>
              <fill>
                <patternFill>
                  <bgColor theme="9" tint="0.59996337778862885"/>
                </patternFill>
              </fill>
            </x14:dxf>
          </x14:cfRule>
          <x14:cfRule type="containsText" priority="8759" operator="containsText" id="{40E8E0E8-B29E-488A-8F81-FA02A0872EC8}">
            <xm:f>NOT(ISERROR(SEARCH($Q$12,Q152)))</xm:f>
            <xm:f>$Q$12</xm:f>
            <x14:dxf>
              <fill>
                <patternFill>
                  <bgColor rgb="FFFF0000"/>
                </patternFill>
              </fill>
            </x14:dxf>
          </x14:cfRule>
          <x14:cfRule type="containsText" priority="8757" operator="containsText" id="{7BE535D3-50D1-43CA-95FE-EFA48D00A745}">
            <xm:f>NOT(ISERROR(SEARCH($Q$12,Q152)))</xm:f>
            <xm:f>$Q$12</xm:f>
            <x14:dxf>
              <fill>
                <patternFill>
                  <bgColor rgb="FFFFFF00"/>
                </patternFill>
              </fill>
            </x14:dxf>
          </x14:cfRule>
          <x14:cfRule type="containsText" priority="8754" operator="containsText" id="{1D6EEF9C-4795-4256-90C7-AC52F0C61948}">
            <xm:f>NOT(ISERROR(SEARCH($Q$12,Q152)))</xm:f>
            <xm:f>$Q$12</xm:f>
            <x14:dxf>
              <fill>
                <patternFill>
                  <bgColor theme="9" tint="0.39994506668294322"/>
                </patternFill>
              </fill>
            </x14:dxf>
          </x14:cfRule>
          <x14:cfRule type="containsText" priority="8755" operator="containsText" id="{EE6FFB56-DB52-44CC-B945-5A183DCC890A}">
            <xm:f>NOT(ISERROR(SEARCH($Q$12,Q152)))</xm:f>
            <xm:f>$Q$12</xm:f>
            <x14:dxf>
              <fill>
                <patternFill>
                  <bgColor rgb="FF00B050"/>
                </patternFill>
              </fill>
            </x14:dxf>
          </x14:cfRule>
          <x14:cfRule type="containsText" priority="8756" operator="containsText" id="{4D5C1D83-B688-49EF-9FB0-5BEFAB0C75ED}">
            <xm:f>NOT(ISERROR(SEARCH($Q$12,Q152)))</xm:f>
            <xm:f>$Q$12</xm:f>
            <x14:dxf/>
          </x14:cfRule>
          <x14:cfRule type="containsText" priority="8752" operator="containsText" id="{3B3BBE2D-C069-472F-BA81-6D1A7E176E88}">
            <xm:f>NOT(ISERROR(SEARCH($Q$12,Q152)))</xm:f>
            <xm:f>$Q$12</xm:f>
            <x14:dxf>
              <fill>
                <patternFill>
                  <bgColor rgb="FFFFFF00"/>
                </patternFill>
              </fill>
            </x14:dxf>
          </x14:cfRule>
          <x14:cfRule type="containsText" priority="8753" operator="containsText" id="{BAE9A207-D16D-48D7-A38E-C799A2CB2AF1}">
            <xm:f>NOT(ISERROR(SEARCH($Q$12,Q152)))</xm:f>
            <xm:f>$Q$12</xm:f>
            <x14:dxf>
              <fill>
                <patternFill>
                  <bgColor theme="9" tint="0.79998168889431442"/>
                </patternFill>
              </fill>
            </x14:dxf>
          </x14:cfRule>
          <x14:cfRule type="containsText" priority="8758" operator="containsText" id="{CFDF9A90-0566-419C-BB37-3B9A87CB3B7F}">
            <xm:f>NOT(ISERROR(SEARCH($Q$12,Q152)))</xm:f>
            <xm:f>$Q$12</xm:f>
            <x14:dxf>
              <fill>
                <patternFill>
                  <bgColor rgb="FFFFC000"/>
                </patternFill>
              </fill>
            </x14:dxf>
          </x14:cfRule>
          <x14:cfRule type="containsText" priority="8764" operator="containsText" id="{332F8870-0638-4384-8CB8-A9B055D41523}">
            <xm:f>NOT(ISERROR(SEARCH($Q$12,Q152)))</xm:f>
            <xm:f>$Q$12</xm:f>
            <x14:dxf>
              <fill>
                <patternFill>
                  <bgColor rgb="FFFF0000"/>
                </patternFill>
              </fill>
            </x14:dxf>
          </x14:cfRule>
          <x14:cfRule type="containsText" priority="8763" operator="containsText" id="{DF1CB9DA-F077-437F-9709-7639545E09D3}">
            <xm:f>NOT(ISERROR(SEARCH($Q$12,Q152)))</xm:f>
            <xm:f>$Q$12</xm:f>
            <x14:dxf>
              <fill>
                <patternFill>
                  <bgColor rgb="FFFFC000"/>
                </patternFill>
              </fill>
            </x14:dxf>
          </x14:cfRule>
          <x14:cfRule type="containsText" priority="8762" operator="containsText" id="{1634AB95-EA69-4E62-8296-546570F2D2E5}">
            <xm:f>NOT(ISERROR(SEARCH($Q$12,Q152)))</xm:f>
            <xm:f>$Q$12</xm:f>
            <x14:dxf>
              <fill>
                <patternFill>
                  <bgColor rgb="FFFFFF00"/>
                </patternFill>
              </fill>
            </x14:dxf>
          </x14:cfRule>
          <x14:cfRule type="containsText" priority="8761" operator="containsText" id="{DA925DCA-4895-4C5F-9E96-33537E24398B}">
            <xm:f>NOT(ISERROR(SEARCH($Q$12,Q152)))</xm:f>
            <xm:f>$Q$12</xm:f>
            <x14:dxf>
              <fill>
                <patternFill>
                  <bgColor theme="9"/>
                </patternFill>
              </fill>
            </x14:dxf>
          </x14:cfRule>
          <xm:sqref>Q152</xm:sqref>
        </x14:conditionalFormatting>
        <x14:conditionalFormatting xmlns:xm="http://schemas.microsoft.com/office/excel/2006/main">
          <x14:cfRule type="containsText" priority="8662" operator="containsText" id="{0CFC9EF8-F731-414A-AB97-8F6E91358791}">
            <xm:f>NOT(ISERROR(SEARCH($Q$12,Q162)))</xm:f>
            <xm:f>$Q$12</xm:f>
            <x14:dxf>
              <fill>
                <patternFill>
                  <bgColor theme="9"/>
                </patternFill>
              </fill>
            </x14:dxf>
          </x14:cfRule>
          <x14:cfRule type="containsText" priority="8663" operator="containsText" id="{A6266465-C88B-458B-A102-D1693AD536C5}">
            <xm:f>NOT(ISERROR(SEARCH($Q$12,Q162)))</xm:f>
            <xm:f>$Q$12</xm:f>
            <x14:dxf>
              <fill>
                <patternFill>
                  <bgColor rgb="FFFFFF00"/>
                </patternFill>
              </fill>
            </x14:dxf>
          </x14:cfRule>
          <x14:cfRule type="containsText" priority="8661" operator="containsText" id="{C7857BC3-1EE7-4CB5-9304-2B5DDB07FFDA}">
            <xm:f>NOT(ISERROR(SEARCH($Q$12,Q162)))</xm:f>
            <xm:f>$Q$12</xm:f>
            <x14:dxf>
              <fill>
                <patternFill>
                  <bgColor theme="9" tint="0.59996337778862885"/>
                </patternFill>
              </fill>
            </x14:dxf>
          </x14:cfRule>
          <x14:cfRule type="containsText" priority="8660" operator="containsText" id="{A11B9D98-456F-4036-8BA8-42685198E9F5}">
            <xm:f>NOT(ISERROR(SEARCH($Q$12,Q162)))</xm:f>
            <xm:f>$Q$12</xm:f>
            <x14:dxf>
              <fill>
                <patternFill>
                  <bgColor rgb="FFFF0000"/>
                </patternFill>
              </fill>
            </x14:dxf>
          </x14:cfRule>
          <x14:cfRule type="containsText" priority="8659" operator="containsText" id="{8987F1F7-363C-4A42-87AE-D015944D4AAF}">
            <xm:f>NOT(ISERROR(SEARCH($Q$12,Q162)))</xm:f>
            <xm:f>$Q$12</xm:f>
            <x14:dxf>
              <fill>
                <patternFill>
                  <bgColor rgb="FFFFC000"/>
                </patternFill>
              </fill>
            </x14:dxf>
          </x14:cfRule>
          <x14:cfRule type="containsText" priority="8658" operator="containsText" id="{4D585FE2-9B6B-4F99-A2F9-1CB55274AA89}">
            <xm:f>NOT(ISERROR(SEARCH($Q$12,Q162)))</xm:f>
            <xm:f>$Q$12</xm:f>
            <x14:dxf>
              <fill>
                <patternFill>
                  <bgColor rgb="FFFFFF00"/>
                </patternFill>
              </fill>
            </x14:dxf>
          </x14:cfRule>
          <x14:cfRule type="containsText" priority="8657" operator="containsText" id="{204DD086-C4EC-42B6-8842-D172F2FFDFD5}">
            <xm:f>NOT(ISERROR(SEARCH($Q$12,Q162)))</xm:f>
            <xm:f>$Q$12</xm:f>
            <x14:dxf/>
          </x14:cfRule>
          <x14:cfRule type="containsText" priority="8656" operator="containsText" id="{CB8F5447-C061-4FC2-9D1B-3C438FEDA8A6}">
            <xm:f>NOT(ISERROR(SEARCH($Q$12,Q162)))</xm:f>
            <xm:f>$Q$12</xm:f>
            <x14:dxf>
              <fill>
                <patternFill>
                  <bgColor rgb="FF00B050"/>
                </patternFill>
              </fill>
            </x14:dxf>
          </x14:cfRule>
          <x14:cfRule type="containsText" priority="8655" operator="containsText" id="{604CDB89-20FC-47A4-9FEC-E1A90F8F0943}">
            <xm:f>NOT(ISERROR(SEARCH($Q$12,Q162)))</xm:f>
            <xm:f>$Q$12</xm:f>
            <x14:dxf>
              <fill>
                <patternFill>
                  <bgColor theme="9" tint="0.39994506668294322"/>
                </patternFill>
              </fill>
            </x14:dxf>
          </x14:cfRule>
          <x14:cfRule type="containsText" priority="8654" operator="containsText" id="{C15A9500-586A-43B1-A779-2183EE8DDB17}">
            <xm:f>NOT(ISERROR(SEARCH($Q$12,Q162)))</xm:f>
            <xm:f>$Q$12</xm:f>
            <x14:dxf>
              <fill>
                <patternFill>
                  <bgColor theme="9" tint="0.79998168889431442"/>
                </patternFill>
              </fill>
            </x14:dxf>
          </x14:cfRule>
          <x14:cfRule type="containsText" priority="8653" operator="containsText" id="{6D108A36-268F-4D54-A0E8-F5CDAF371C02}">
            <xm:f>NOT(ISERROR(SEARCH($Q$12,Q162)))</xm:f>
            <xm:f>$Q$12</xm:f>
            <x14:dxf>
              <fill>
                <patternFill>
                  <bgColor rgb="FFFFFF00"/>
                </patternFill>
              </fill>
            </x14:dxf>
          </x14:cfRule>
          <x14:cfRule type="containsText" priority="8665" operator="containsText" id="{4349A05A-4602-4B62-A3A9-C89E99618F3C}">
            <xm:f>NOT(ISERROR(SEARCH($Q$12,Q162)))</xm:f>
            <xm:f>$Q$12</xm:f>
            <x14:dxf>
              <fill>
                <patternFill>
                  <bgColor rgb="FFFF0000"/>
                </patternFill>
              </fill>
            </x14:dxf>
          </x14:cfRule>
          <x14:cfRule type="containsText" priority="8664" operator="containsText" id="{F5CEDF74-60EA-4363-A27D-0F385EB0216C}">
            <xm:f>NOT(ISERROR(SEARCH($Q$12,Q162)))</xm:f>
            <xm:f>$Q$12</xm:f>
            <x14:dxf>
              <fill>
                <patternFill>
                  <bgColor rgb="FFFFC000"/>
                </patternFill>
              </fill>
            </x14:dxf>
          </x14:cfRule>
          <xm:sqref>Q162</xm:sqref>
        </x14:conditionalFormatting>
        <x14:conditionalFormatting xmlns:xm="http://schemas.microsoft.com/office/excel/2006/main">
          <x14:cfRule type="containsText" priority="8605" operator="containsText" id="{A03C4AF3-42A9-4151-A4FD-88717B1D955B}">
            <xm:f>NOT(ISERROR(SEARCH($Q$12,Q172)))</xm:f>
            <xm:f>$Q$12</xm:f>
            <x14:dxf>
              <fill>
                <patternFill>
                  <bgColor rgb="FFFFFF00"/>
                </patternFill>
              </fill>
            </x14:dxf>
          </x14:cfRule>
          <x14:cfRule type="containsText" priority="8606" operator="containsText" id="{C88ABFCE-3446-4B96-BF3E-C4D97AF1ACF0}">
            <xm:f>NOT(ISERROR(SEARCH($Q$12,Q172)))</xm:f>
            <xm:f>$Q$12</xm:f>
            <x14:dxf>
              <fill>
                <patternFill>
                  <bgColor theme="9" tint="0.79998168889431442"/>
                </patternFill>
              </fill>
            </x14:dxf>
          </x14:cfRule>
          <x14:cfRule type="containsText" priority="8607" operator="containsText" id="{2EE5C8A7-3B1C-48B0-86E3-77629D78B5C6}">
            <xm:f>NOT(ISERROR(SEARCH($Q$12,Q172)))</xm:f>
            <xm:f>$Q$12</xm:f>
            <x14:dxf>
              <fill>
                <patternFill>
                  <bgColor theme="9" tint="0.39994506668294322"/>
                </patternFill>
              </fill>
            </x14:dxf>
          </x14:cfRule>
          <x14:cfRule type="containsText" priority="8608" operator="containsText" id="{DABBEF44-0C1D-4013-93F5-C7CCBD234DDE}">
            <xm:f>NOT(ISERROR(SEARCH($Q$12,Q172)))</xm:f>
            <xm:f>$Q$12</xm:f>
            <x14:dxf>
              <fill>
                <patternFill>
                  <bgColor rgb="FF00B050"/>
                </patternFill>
              </fill>
            </x14:dxf>
          </x14:cfRule>
          <x14:cfRule type="containsText" priority="8609" operator="containsText" id="{A099208D-5D80-4732-8FD5-865FC7D3E76F}">
            <xm:f>NOT(ISERROR(SEARCH($Q$12,Q172)))</xm:f>
            <xm:f>$Q$12</xm:f>
            <x14:dxf/>
          </x14:cfRule>
          <x14:cfRule type="containsText" priority="8610" operator="containsText" id="{DEACA6D3-6D99-4F84-9AC0-03DD540021AC}">
            <xm:f>NOT(ISERROR(SEARCH($Q$12,Q172)))</xm:f>
            <xm:f>$Q$12</xm:f>
            <x14:dxf>
              <fill>
                <patternFill>
                  <bgColor rgb="FFFFFF00"/>
                </patternFill>
              </fill>
            </x14:dxf>
          </x14:cfRule>
          <x14:cfRule type="containsText" priority="8611" operator="containsText" id="{3BAD6D77-8CC6-409E-94BE-4113E15BCB8E}">
            <xm:f>NOT(ISERROR(SEARCH($Q$12,Q172)))</xm:f>
            <xm:f>$Q$12</xm:f>
            <x14:dxf>
              <fill>
                <patternFill>
                  <bgColor rgb="FFFFC000"/>
                </patternFill>
              </fill>
            </x14:dxf>
          </x14:cfRule>
          <x14:cfRule type="containsText" priority="8612" operator="containsText" id="{A7D1CFBB-C7BD-4541-8C25-BC8815C0A062}">
            <xm:f>NOT(ISERROR(SEARCH($Q$12,Q172)))</xm:f>
            <xm:f>$Q$12</xm:f>
            <x14:dxf>
              <fill>
                <patternFill>
                  <bgColor rgb="FFFF0000"/>
                </patternFill>
              </fill>
            </x14:dxf>
          </x14:cfRule>
          <x14:cfRule type="containsText" priority="8613" operator="containsText" id="{B38204E0-3C36-4F4E-B357-4561A8968295}">
            <xm:f>NOT(ISERROR(SEARCH($Q$12,Q172)))</xm:f>
            <xm:f>$Q$12</xm:f>
            <x14:dxf>
              <fill>
                <patternFill>
                  <bgColor theme="9" tint="0.59996337778862885"/>
                </patternFill>
              </fill>
            </x14:dxf>
          </x14:cfRule>
          <x14:cfRule type="containsText" priority="8614" operator="containsText" id="{B1C6DACF-AF9E-4388-BC9C-7141FE6B2799}">
            <xm:f>NOT(ISERROR(SEARCH($Q$12,Q172)))</xm:f>
            <xm:f>$Q$12</xm:f>
            <x14:dxf>
              <fill>
                <patternFill>
                  <bgColor theme="9"/>
                </patternFill>
              </fill>
            </x14:dxf>
          </x14:cfRule>
          <x14:cfRule type="containsText" priority="8615" operator="containsText" id="{77888EED-D299-464D-BB7D-211F476DEFF3}">
            <xm:f>NOT(ISERROR(SEARCH($Q$12,Q172)))</xm:f>
            <xm:f>$Q$12</xm:f>
            <x14:dxf>
              <fill>
                <patternFill>
                  <bgColor rgb="FFFFFF00"/>
                </patternFill>
              </fill>
            </x14:dxf>
          </x14:cfRule>
          <x14:cfRule type="containsText" priority="8616" operator="containsText" id="{FE6F9A45-2EA1-494D-9EFE-9F3CF3104AA1}">
            <xm:f>NOT(ISERROR(SEARCH($Q$12,Q172)))</xm:f>
            <xm:f>$Q$12</xm:f>
            <x14:dxf>
              <fill>
                <patternFill>
                  <bgColor rgb="FFFFC000"/>
                </patternFill>
              </fill>
            </x14:dxf>
          </x14:cfRule>
          <x14:cfRule type="containsText" priority="8617" operator="containsText" id="{8C5498F8-1A98-41EE-BF18-E3397F7E3742}">
            <xm:f>NOT(ISERROR(SEARCH($Q$12,Q172)))</xm:f>
            <xm:f>$Q$12</xm:f>
            <x14:dxf>
              <fill>
                <patternFill>
                  <bgColor rgb="FFFF0000"/>
                </patternFill>
              </fill>
            </x14:dxf>
          </x14:cfRule>
          <xm:sqref>Q172</xm:sqref>
        </x14:conditionalFormatting>
        <x14:conditionalFormatting xmlns:xm="http://schemas.microsoft.com/office/excel/2006/main">
          <x14:cfRule type="containsText" priority="8456" operator="containsText" id="{13613B5B-BEFF-4E8F-AB9C-5B667D72902A}">
            <xm:f>NOT(ISERROR(SEARCH($Q$12,Q182)))</xm:f>
            <xm:f>$Q$12</xm:f>
            <x14:dxf>
              <fill>
                <patternFill>
                  <bgColor rgb="FFFF0000"/>
                </patternFill>
              </fill>
            </x14:dxf>
          </x14:cfRule>
          <x14:cfRule type="containsText" priority="8455" operator="containsText" id="{8AB38EE3-7113-45BA-91EF-7C9BF5046B4A}">
            <xm:f>NOT(ISERROR(SEARCH($Q$12,Q182)))</xm:f>
            <xm:f>$Q$12</xm:f>
            <x14:dxf>
              <fill>
                <patternFill>
                  <bgColor rgb="FFFFC000"/>
                </patternFill>
              </fill>
            </x14:dxf>
          </x14:cfRule>
          <x14:cfRule type="containsText" priority="8454" operator="containsText" id="{EC3C8422-20E3-424C-9BA3-7925B628D3E6}">
            <xm:f>NOT(ISERROR(SEARCH($Q$12,Q182)))</xm:f>
            <xm:f>$Q$12</xm:f>
            <x14:dxf>
              <fill>
                <patternFill>
                  <bgColor rgb="FFFFFF00"/>
                </patternFill>
              </fill>
            </x14:dxf>
          </x14:cfRule>
          <x14:cfRule type="containsText" priority="8452" operator="containsText" id="{B6A890E6-D9CF-43CF-B5CD-28A8E3DC4CF5}">
            <xm:f>NOT(ISERROR(SEARCH($Q$12,Q182)))</xm:f>
            <xm:f>$Q$12</xm:f>
            <x14:dxf>
              <fill>
                <patternFill>
                  <bgColor theme="9" tint="0.59996337778862885"/>
                </patternFill>
              </fill>
            </x14:dxf>
          </x14:cfRule>
          <x14:cfRule type="containsText" priority="8451" operator="containsText" id="{41402685-07C6-4DE8-8670-DC2ABB2E43ED}">
            <xm:f>NOT(ISERROR(SEARCH($Q$12,Q182)))</xm:f>
            <xm:f>$Q$12</xm:f>
            <x14:dxf>
              <fill>
                <patternFill>
                  <bgColor rgb="FFFF0000"/>
                </patternFill>
              </fill>
            </x14:dxf>
          </x14:cfRule>
          <x14:cfRule type="containsText" priority="8450" operator="containsText" id="{6FB006EC-8473-4B1D-B1D8-600BFF756911}">
            <xm:f>NOT(ISERROR(SEARCH($Q$12,Q182)))</xm:f>
            <xm:f>$Q$12</xm:f>
            <x14:dxf>
              <fill>
                <patternFill>
                  <bgColor rgb="FFFFC000"/>
                </patternFill>
              </fill>
            </x14:dxf>
          </x14:cfRule>
          <x14:cfRule type="containsText" priority="8449" operator="containsText" id="{B2E723F7-CF8A-4D51-AE6A-66212E123A21}">
            <xm:f>NOT(ISERROR(SEARCH($Q$12,Q182)))</xm:f>
            <xm:f>$Q$12</xm:f>
            <x14:dxf>
              <fill>
                <patternFill>
                  <bgColor rgb="FFFFFF00"/>
                </patternFill>
              </fill>
            </x14:dxf>
          </x14:cfRule>
          <x14:cfRule type="containsText" priority="8448" operator="containsText" id="{065DAD3C-5A62-4111-96BD-A706214391DE}">
            <xm:f>NOT(ISERROR(SEARCH($Q$12,Q182)))</xm:f>
            <xm:f>$Q$12</xm:f>
            <x14:dxf/>
          </x14:cfRule>
          <x14:cfRule type="containsText" priority="8447" operator="containsText" id="{B574E916-1BF0-4EF9-9EEE-BFE2DCF87551}">
            <xm:f>NOT(ISERROR(SEARCH($Q$12,Q182)))</xm:f>
            <xm:f>$Q$12</xm:f>
            <x14:dxf>
              <fill>
                <patternFill>
                  <bgColor rgb="FF00B050"/>
                </patternFill>
              </fill>
            </x14:dxf>
          </x14:cfRule>
          <x14:cfRule type="containsText" priority="8446" operator="containsText" id="{1744EE09-09E7-4DAF-8D52-DB9C8F2F3441}">
            <xm:f>NOT(ISERROR(SEARCH($Q$12,Q182)))</xm:f>
            <xm:f>$Q$12</xm:f>
            <x14:dxf>
              <fill>
                <patternFill>
                  <bgColor theme="9" tint="0.39994506668294322"/>
                </patternFill>
              </fill>
            </x14:dxf>
          </x14:cfRule>
          <x14:cfRule type="containsText" priority="8453" operator="containsText" id="{25D3446D-FB72-448F-8CD2-69C08E200442}">
            <xm:f>NOT(ISERROR(SEARCH($Q$12,Q182)))</xm:f>
            <xm:f>$Q$12</xm:f>
            <x14:dxf>
              <fill>
                <patternFill>
                  <bgColor theme="9"/>
                </patternFill>
              </fill>
            </x14:dxf>
          </x14:cfRule>
          <x14:cfRule type="containsText" priority="8445" operator="containsText" id="{81E3EC11-09FC-4530-8523-A0D04A645257}">
            <xm:f>NOT(ISERROR(SEARCH($Q$12,Q182)))</xm:f>
            <xm:f>$Q$12</xm:f>
            <x14:dxf>
              <fill>
                <patternFill>
                  <bgColor theme="9" tint="0.79998168889431442"/>
                </patternFill>
              </fill>
            </x14:dxf>
          </x14:cfRule>
          <x14:cfRule type="containsText" priority="8444" operator="containsText" id="{FFF9E72B-2D59-4452-81CF-EFB3ECF82382}">
            <xm:f>NOT(ISERROR(SEARCH($Q$12,Q182)))</xm:f>
            <xm:f>$Q$12</xm:f>
            <x14:dxf>
              <fill>
                <patternFill>
                  <bgColor rgb="FFFFFF00"/>
                </patternFill>
              </fill>
            </x14:dxf>
          </x14:cfRule>
          <xm:sqref>Q182</xm:sqref>
        </x14:conditionalFormatting>
        <x14:conditionalFormatting xmlns:xm="http://schemas.microsoft.com/office/excel/2006/main">
          <x14:cfRule type="containsText" priority="8347" operator="containsText" id="{D6BC8348-99FB-460E-BB90-570447C1BAD9}">
            <xm:f>NOT(ISERROR(SEARCH($Q$12,Q192)))</xm:f>
            <xm:f>$Q$12</xm:f>
            <x14:dxf>
              <fill>
                <patternFill>
                  <bgColor theme="9" tint="0.39994506668294322"/>
                </patternFill>
              </fill>
            </x14:dxf>
          </x14:cfRule>
          <x14:cfRule type="containsText" priority="8345" operator="containsText" id="{42A5A2F7-CBC5-4516-AAE3-B1C1FCB3319D}">
            <xm:f>NOT(ISERROR(SEARCH($Q$12,Q192)))</xm:f>
            <xm:f>$Q$12</xm:f>
            <x14:dxf>
              <fill>
                <patternFill>
                  <bgColor rgb="FFFFFF00"/>
                </patternFill>
              </fill>
            </x14:dxf>
          </x14:cfRule>
          <x14:cfRule type="containsText" priority="8346" operator="containsText" id="{76211239-5334-4605-BB36-FDCBE42F51FA}">
            <xm:f>NOT(ISERROR(SEARCH($Q$12,Q192)))</xm:f>
            <xm:f>$Q$12</xm:f>
            <x14:dxf>
              <fill>
                <patternFill>
                  <bgColor theme="9" tint="0.79998168889431442"/>
                </patternFill>
              </fill>
            </x14:dxf>
          </x14:cfRule>
          <x14:cfRule type="containsText" priority="8356" operator="containsText" id="{684C32FB-48E3-4DFD-9220-C94A1A6E6A85}">
            <xm:f>NOT(ISERROR(SEARCH($Q$12,Q192)))</xm:f>
            <xm:f>$Q$12</xm:f>
            <x14:dxf>
              <fill>
                <patternFill>
                  <bgColor rgb="FFFFC000"/>
                </patternFill>
              </fill>
            </x14:dxf>
          </x14:cfRule>
          <x14:cfRule type="containsText" priority="8348" operator="containsText" id="{1E20FEBA-8461-4618-8728-A6866CACDE60}">
            <xm:f>NOT(ISERROR(SEARCH($Q$12,Q192)))</xm:f>
            <xm:f>$Q$12</xm:f>
            <x14:dxf>
              <fill>
                <patternFill>
                  <bgColor rgb="FF00B050"/>
                </patternFill>
              </fill>
            </x14:dxf>
          </x14:cfRule>
          <x14:cfRule type="containsText" priority="8349" operator="containsText" id="{9DCB7A6C-4562-4AC0-9953-4A062FEFED10}">
            <xm:f>NOT(ISERROR(SEARCH($Q$12,Q192)))</xm:f>
            <xm:f>$Q$12</xm:f>
            <x14:dxf/>
          </x14:cfRule>
          <x14:cfRule type="containsText" priority="8350" operator="containsText" id="{6C24B3EC-3F10-4E09-B414-2C9D33C3EAB9}">
            <xm:f>NOT(ISERROR(SEARCH($Q$12,Q192)))</xm:f>
            <xm:f>$Q$12</xm:f>
            <x14:dxf>
              <fill>
                <patternFill>
                  <bgColor rgb="FFFFFF00"/>
                </patternFill>
              </fill>
            </x14:dxf>
          </x14:cfRule>
          <x14:cfRule type="containsText" priority="8351" operator="containsText" id="{AB19C060-3F7B-4E97-BFCD-FE1E15082A0F}">
            <xm:f>NOT(ISERROR(SEARCH($Q$12,Q192)))</xm:f>
            <xm:f>$Q$12</xm:f>
            <x14:dxf>
              <fill>
                <patternFill>
                  <bgColor rgb="FFFFC000"/>
                </patternFill>
              </fill>
            </x14:dxf>
          </x14:cfRule>
          <x14:cfRule type="containsText" priority="8352" operator="containsText" id="{0B6AD289-5C32-4593-B89B-ED7A1D9AE88D}">
            <xm:f>NOT(ISERROR(SEARCH($Q$12,Q192)))</xm:f>
            <xm:f>$Q$12</xm:f>
            <x14:dxf>
              <fill>
                <patternFill>
                  <bgColor rgb="FFFF0000"/>
                </patternFill>
              </fill>
            </x14:dxf>
          </x14:cfRule>
          <x14:cfRule type="containsText" priority="8353" operator="containsText" id="{900E5C6D-4E9B-494A-8C77-1D10D8831BD7}">
            <xm:f>NOT(ISERROR(SEARCH($Q$12,Q192)))</xm:f>
            <xm:f>$Q$12</xm:f>
            <x14:dxf>
              <fill>
                <patternFill>
                  <bgColor theme="9" tint="0.59996337778862885"/>
                </patternFill>
              </fill>
            </x14:dxf>
          </x14:cfRule>
          <x14:cfRule type="containsText" priority="8354" operator="containsText" id="{C8C60942-5FA0-47F0-B0DE-00B21E5D44A9}">
            <xm:f>NOT(ISERROR(SEARCH($Q$12,Q192)))</xm:f>
            <xm:f>$Q$12</xm:f>
            <x14:dxf>
              <fill>
                <patternFill>
                  <bgColor theme="9"/>
                </patternFill>
              </fill>
            </x14:dxf>
          </x14:cfRule>
          <x14:cfRule type="containsText" priority="8355" operator="containsText" id="{75E825CE-CCE3-4063-B551-2697C3E8979C}">
            <xm:f>NOT(ISERROR(SEARCH($Q$12,Q192)))</xm:f>
            <xm:f>$Q$12</xm:f>
            <x14:dxf>
              <fill>
                <patternFill>
                  <bgColor rgb="FFFFFF00"/>
                </patternFill>
              </fill>
            </x14:dxf>
          </x14:cfRule>
          <x14:cfRule type="containsText" priority="8357" operator="containsText" id="{C437D6FD-B8C7-4C7E-9C53-E1650B7EBD56}">
            <xm:f>NOT(ISERROR(SEARCH($Q$12,Q192)))</xm:f>
            <xm:f>$Q$12</xm:f>
            <x14:dxf>
              <fill>
                <patternFill>
                  <bgColor rgb="FFFF0000"/>
                </patternFill>
              </fill>
            </x14:dxf>
          </x14:cfRule>
          <xm:sqref>Q192</xm:sqref>
        </x14:conditionalFormatting>
        <x14:conditionalFormatting xmlns:xm="http://schemas.microsoft.com/office/excel/2006/main">
          <x14:cfRule type="containsText" priority="8299" operator="containsText" id="{9BE0A680-685E-464B-9508-9FD1A89E79ED}">
            <xm:f>NOT(ISERROR(SEARCH($Q$12,Q202)))</xm:f>
            <xm:f>$Q$12</xm:f>
            <x14:dxf>
              <fill>
                <patternFill>
                  <bgColor theme="9" tint="0.39994506668294322"/>
                </patternFill>
              </fill>
            </x14:dxf>
          </x14:cfRule>
          <x14:cfRule type="containsText" priority="8304" operator="containsText" id="{5E8E12D9-34EF-4ACA-B85D-DA7DC1FA758E}">
            <xm:f>NOT(ISERROR(SEARCH($Q$12,Q202)))</xm:f>
            <xm:f>$Q$12</xm:f>
            <x14:dxf>
              <fill>
                <patternFill>
                  <bgColor rgb="FFFF0000"/>
                </patternFill>
              </fill>
            </x14:dxf>
          </x14:cfRule>
          <x14:cfRule type="containsText" priority="8305" operator="containsText" id="{C0FE1116-F359-4CBC-A593-E9CD7E5F2479}">
            <xm:f>NOT(ISERROR(SEARCH($Q$12,Q202)))</xm:f>
            <xm:f>$Q$12</xm:f>
            <x14:dxf>
              <fill>
                <patternFill>
                  <bgColor theme="9" tint="0.59996337778862885"/>
                </patternFill>
              </fill>
            </x14:dxf>
          </x14:cfRule>
          <x14:cfRule type="containsText" priority="8306" operator="containsText" id="{FD79DBAF-84AC-4922-A6D2-A266FF2AAF81}">
            <xm:f>NOT(ISERROR(SEARCH($Q$12,Q202)))</xm:f>
            <xm:f>$Q$12</xm:f>
            <x14:dxf>
              <fill>
                <patternFill>
                  <bgColor theme="9"/>
                </patternFill>
              </fill>
            </x14:dxf>
          </x14:cfRule>
          <x14:cfRule type="containsText" priority="8307" operator="containsText" id="{3629E2C3-AC52-48BA-9C71-7A0A974B3B4A}">
            <xm:f>NOT(ISERROR(SEARCH($Q$12,Q202)))</xm:f>
            <xm:f>$Q$12</xm:f>
            <x14:dxf>
              <fill>
                <patternFill>
                  <bgColor rgb="FFFFFF00"/>
                </patternFill>
              </fill>
            </x14:dxf>
          </x14:cfRule>
          <x14:cfRule type="containsText" priority="8308" operator="containsText" id="{BA41220E-9B2C-407C-8E67-64A2FD4E79B8}">
            <xm:f>NOT(ISERROR(SEARCH($Q$12,Q202)))</xm:f>
            <xm:f>$Q$12</xm:f>
            <x14:dxf>
              <fill>
                <patternFill>
                  <bgColor rgb="FFFFC000"/>
                </patternFill>
              </fill>
            </x14:dxf>
          </x14:cfRule>
          <x14:cfRule type="containsText" priority="8309" operator="containsText" id="{6040F9C3-F6BC-4FDC-99ED-5675846818DA}">
            <xm:f>NOT(ISERROR(SEARCH($Q$12,Q202)))</xm:f>
            <xm:f>$Q$12</xm:f>
            <x14:dxf>
              <fill>
                <patternFill>
                  <bgColor rgb="FFFF0000"/>
                </patternFill>
              </fill>
            </x14:dxf>
          </x14:cfRule>
          <x14:cfRule type="containsText" priority="8298" operator="containsText" id="{B024379A-CC4A-4314-8B66-C21B3E8EC511}">
            <xm:f>NOT(ISERROR(SEARCH($Q$12,Q202)))</xm:f>
            <xm:f>$Q$12</xm:f>
            <x14:dxf>
              <fill>
                <patternFill>
                  <bgColor theme="9" tint="0.79998168889431442"/>
                </patternFill>
              </fill>
            </x14:dxf>
          </x14:cfRule>
          <x14:cfRule type="containsText" priority="8297" operator="containsText" id="{3C1BDAD0-CA2A-4CAB-9697-E93C1B79D3FD}">
            <xm:f>NOT(ISERROR(SEARCH($Q$12,Q202)))</xm:f>
            <xm:f>$Q$12</xm:f>
            <x14:dxf>
              <fill>
                <patternFill>
                  <bgColor rgb="FFFFFF00"/>
                </patternFill>
              </fill>
            </x14:dxf>
          </x14:cfRule>
          <x14:cfRule type="containsText" priority="8303" operator="containsText" id="{CEAB3F3E-378D-46EA-9BCE-4D232E22333F}">
            <xm:f>NOT(ISERROR(SEARCH($Q$12,Q202)))</xm:f>
            <xm:f>$Q$12</xm:f>
            <x14:dxf>
              <fill>
                <patternFill>
                  <bgColor rgb="FFFFC000"/>
                </patternFill>
              </fill>
            </x14:dxf>
          </x14:cfRule>
          <x14:cfRule type="containsText" priority="8302" operator="containsText" id="{A3EE194C-9AD2-492D-8A6B-015B8826CBF3}">
            <xm:f>NOT(ISERROR(SEARCH($Q$12,Q202)))</xm:f>
            <xm:f>$Q$12</xm:f>
            <x14:dxf>
              <fill>
                <patternFill>
                  <bgColor rgb="FFFFFF00"/>
                </patternFill>
              </fill>
            </x14:dxf>
          </x14:cfRule>
          <x14:cfRule type="containsText" priority="8301" operator="containsText" id="{A0DA1954-C208-4FCA-B66F-9CF3EA437273}">
            <xm:f>NOT(ISERROR(SEARCH($Q$12,Q202)))</xm:f>
            <xm:f>$Q$12</xm:f>
            <x14:dxf/>
          </x14:cfRule>
          <x14:cfRule type="containsText" priority="8300" operator="containsText" id="{90624B92-E3A7-4D47-BEF5-C3F01BE762D7}">
            <xm:f>NOT(ISERROR(SEARCH($Q$12,Q202)))</xm:f>
            <xm:f>$Q$12</xm:f>
            <x14:dxf>
              <fill>
                <patternFill>
                  <bgColor rgb="FF00B050"/>
                </patternFill>
              </fill>
            </x14:dxf>
          </x14:cfRule>
          <xm:sqref>Q202</xm:sqref>
        </x14:conditionalFormatting>
        <x14:conditionalFormatting xmlns:xm="http://schemas.microsoft.com/office/excel/2006/main">
          <x14:cfRule type="containsText" priority="8144" operator="containsText" id="{91D574F5-3C5C-4029-8702-456E46DDABB8}">
            <xm:f>NOT(ISERROR(SEARCH($Q$12,Q212)))</xm:f>
            <xm:f>$Q$12</xm:f>
            <x14:dxf>
              <fill>
                <patternFill>
                  <bgColor theme="9" tint="0.59996337778862885"/>
                </patternFill>
              </fill>
            </x14:dxf>
          </x14:cfRule>
          <x14:cfRule type="containsText" priority="8138" operator="containsText" id="{70F9A076-CC0A-454F-84BD-8D8CF1786609}">
            <xm:f>NOT(ISERROR(SEARCH($Q$12,Q212)))</xm:f>
            <xm:f>$Q$12</xm:f>
            <x14:dxf>
              <fill>
                <patternFill>
                  <bgColor theme="9" tint="0.39994506668294322"/>
                </patternFill>
              </fill>
            </x14:dxf>
          </x14:cfRule>
          <x14:cfRule type="containsText" priority="8139" operator="containsText" id="{B51348F3-695E-48FB-958F-D0D4AC3A0B46}">
            <xm:f>NOT(ISERROR(SEARCH($Q$12,Q212)))</xm:f>
            <xm:f>$Q$12</xm:f>
            <x14:dxf>
              <fill>
                <patternFill>
                  <bgColor rgb="FF00B050"/>
                </patternFill>
              </fill>
            </x14:dxf>
          </x14:cfRule>
          <x14:cfRule type="containsText" priority="8140" operator="containsText" id="{930598D4-9887-42BA-9A23-F02246DFC91E}">
            <xm:f>NOT(ISERROR(SEARCH($Q$12,Q212)))</xm:f>
            <xm:f>$Q$12</xm:f>
            <x14:dxf/>
          </x14:cfRule>
          <x14:cfRule type="containsText" priority="8142" operator="containsText" id="{59673E89-0A73-4E48-BFB4-162E188230CE}">
            <xm:f>NOT(ISERROR(SEARCH($Q$12,Q212)))</xm:f>
            <xm:f>$Q$12</xm:f>
            <x14:dxf>
              <fill>
                <patternFill>
                  <bgColor rgb="FFFFC000"/>
                </patternFill>
              </fill>
            </x14:dxf>
          </x14:cfRule>
          <x14:cfRule type="containsText" priority="8143" operator="containsText" id="{F4432A1F-EA1C-4A2F-AF42-05EDEFDE7F90}">
            <xm:f>NOT(ISERROR(SEARCH($Q$12,Q212)))</xm:f>
            <xm:f>$Q$12</xm:f>
            <x14:dxf>
              <fill>
                <patternFill>
                  <bgColor rgb="FFFF0000"/>
                </patternFill>
              </fill>
            </x14:dxf>
          </x14:cfRule>
          <x14:cfRule type="containsText" priority="8136" operator="containsText" id="{52B96FF1-5C5E-407E-B594-0490655A5C79}">
            <xm:f>NOT(ISERROR(SEARCH($Q$12,Q212)))</xm:f>
            <xm:f>$Q$12</xm:f>
            <x14:dxf>
              <fill>
                <patternFill>
                  <bgColor rgb="FFFFFF00"/>
                </patternFill>
              </fill>
            </x14:dxf>
          </x14:cfRule>
          <x14:cfRule type="containsText" priority="8148" operator="containsText" id="{1E79CD30-51D8-4B90-831A-B4AB34A0D5AE}">
            <xm:f>NOT(ISERROR(SEARCH($Q$12,Q212)))</xm:f>
            <xm:f>$Q$12</xm:f>
            <x14:dxf>
              <fill>
                <patternFill>
                  <bgColor rgb="FFFF0000"/>
                </patternFill>
              </fill>
            </x14:dxf>
          </x14:cfRule>
          <x14:cfRule type="containsText" priority="8147" operator="containsText" id="{55DD9F81-D417-4A35-9939-BB2033E3DC4A}">
            <xm:f>NOT(ISERROR(SEARCH($Q$12,Q212)))</xm:f>
            <xm:f>$Q$12</xm:f>
            <x14:dxf>
              <fill>
                <patternFill>
                  <bgColor rgb="FFFFC000"/>
                </patternFill>
              </fill>
            </x14:dxf>
          </x14:cfRule>
          <x14:cfRule type="containsText" priority="8146" operator="containsText" id="{6C44A5F9-B9B1-4075-830A-D652CB16FC51}">
            <xm:f>NOT(ISERROR(SEARCH($Q$12,Q212)))</xm:f>
            <xm:f>$Q$12</xm:f>
            <x14:dxf>
              <fill>
                <patternFill>
                  <bgColor rgb="FFFFFF00"/>
                </patternFill>
              </fill>
            </x14:dxf>
          </x14:cfRule>
          <x14:cfRule type="containsText" priority="8145" operator="containsText" id="{7ACC212B-55FA-4ED4-BE76-542C8E6834B6}">
            <xm:f>NOT(ISERROR(SEARCH($Q$12,Q212)))</xm:f>
            <xm:f>$Q$12</xm:f>
            <x14:dxf>
              <fill>
                <patternFill>
                  <bgColor theme="9"/>
                </patternFill>
              </fill>
            </x14:dxf>
          </x14:cfRule>
          <x14:cfRule type="containsText" priority="8141" operator="containsText" id="{BDCEC936-9A8F-4D14-B200-C54959EE17CB}">
            <xm:f>NOT(ISERROR(SEARCH($Q$12,Q212)))</xm:f>
            <xm:f>$Q$12</xm:f>
            <x14:dxf>
              <fill>
                <patternFill>
                  <bgColor rgb="FFFFFF00"/>
                </patternFill>
              </fill>
            </x14:dxf>
          </x14:cfRule>
          <x14:cfRule type="containsText" priority="8137" operator="containsText" id="{F308B70D-0B06-4190-846D-E568DA054818}">
            <xm:f>NOT(ISERROR(SEARCH($Q$12,Q212)))</xm:f>
            <xm:f>$Q$12</xm:f>
            <x14:dxf>
              <fill>
                <patternFill>
                  <bgColor theme="9" tint="0.79998168889431442"/>
                </patternFill>
              </fill>
            </x14:dxf>
          </x14:cfRule>
          <xm:sqref>Q212</xm:sqref>
        </x14:conditionalFormatting>
        <x14:conditionalFormatting xmlns:xm="http://schemas.microsoft.com/office/excel/2006/main">
          <x14:cfRule type="containsText" priority="7932" operator="containsText" id="{C2A21335-CCB1-4718-9F4D-86E2966193C9}">
            <xm:f>NOT(ISERROR(SEARCH($Q$12,Q222)))</xm:f>
            <xm:f>$Q$12</xm:f>
            <x14:dxf>
              <fill>
                <patternFill>
                  <bgColor rgb="FFFF0000"/>
                </patternFill>
              </fill>
            </x14:dxf>
          </x14:cfRule>
          <x14:cfRule type="containsText" priority="7931" operator="containsText" id="{A45A0703-F0E5-4DFB-8E59-9F7E18EA0403}">
            <xm:f>NOT(ISERROR(SEARCH($Q$12,Q222)))</xm:f>
            <xm:f>$Q$12</xm:f>
            <x14:dxf>
              <fill>
                <patternFill>
                  <bgColor rgb="FFFFC000"/>
                </patternFill>
              </fill>
            </x14:dxf>
          </x14:cfRule>
          <x14:cfRule type="containsText" priority="7930" operator="containsText" id="{503FE800-0CDC-4F82-829C-D0386798D4B7}">
            <xm:f>NOT(ISERROR(SEARCH($Q$12,Q222)))</xm:f>
            <xm:f>$Q$12</xm:f>
            <x14:dxf>
              <fill>
                <patternFill>
                  <bgColor rgb="FFFFFF00"/>
                </patternFill>
              </fill>
            </x14:dxf>
          </x14:cfRule>
          <x14:cfRule type="containsText" priority="7929" operator="containsText" id="{2CC32E59-CD35-41D5-B0E3-9A9E9B6510E9}">
            <xm:f>NOT(ISERROR(SEARCH($Q$12,Q222)))</xm:f>
            <xm:f>$Q$12</xm:f>
            <x14:dxf/>
          </x14:cfRule>
          <x14:cfRule type="containsText" priority="7926" operator="containsText" id="{C0AB3AD3-F56E-49E0-A03F-29FF87B22E1D}">
            <xm:f>NOT(ISERROR(SEARCH($Q$12,Q222)))</xm:f>
            <xm:f>$Q$12</xm:f>
            <x14:dxf>
              <fill>
                <patternFill>
                  <bgColor theme="9" tint="0.79998168889431442"/>
                </patternFill>
              </fill>
            </x14:dxf>
          </x14:cfRule>
          <x14:cfRule type="containsText" priority="7925" operator="containsText" id="{9E43E4A2-EFEB-43FE-84D5-3F01F883A60D}">
            <xm:f>NOT(ISERROR(SEARCH($Q$12,Q222)))</xm:f>
            <xm:f>$Q$12</xm:f>
            <x14:dxf>
              <fill>
                <patternFill>
                  <bgColor rgb="FFFFFF00"/>
                </patternFill>
              </fill>
            </x14:dxf>
          </x14:cfRule>
          <x14:cfRule type="containsText" priority="7933" operator="containsText" id="{168A1421-D336-4FA0-9D9F-EADD29DA1161}">
            <xm:f>NOT(ISERROR(SEARCH($Q$12,Q222)))</xm:f>
            <xm:f>$Q$12</xm:f>
            <x14:dxf>
              <fill>
                <patternFill>
                  <bgColor theme="9" tint="0.59996337778862885"/>
                </patternFill>
              </fill>
            </x14:dxf>
          </x14:cfRule>
          <x14:cfRule type="containsText" priority="7934" operator="containsText" id="{78ADC7B3-39DB-40CE-B8D5-305FC6DF12C2}">
            <xm:f>NOT(ISERROR(SEARCH($Q$12,Q222)))</xm:f>
            <xm:f>$Q$12</xm:f>
            <x14:dxf>
              <fill>
                <patternFill>
                  <bgColor theme="9"/>
                </patternFill>
              </fill>
            </x14:dxf>
          </x14:cfRule>
          <x14:cfRule type="containsText" priority="7927" operator="containsText" id="{F7D29FAA-6FFA-412F-8D40-132BC330695F}">
            <xm:f>NOT(ISERROR(SEARCH($Q$12,Q222)))</xm:f>
            <xm:f>$Q$12</xm:f>
            <x14:dxf>
              <fill>
                <patternFill>
                  <bgColor theme="9" tint="0.39994506668294322"/>
                </patternFill>
              </fill>
            </x14:dxf>
          </x14:cfRule>
          <x14:cfRule type="containsText" priority="7936" operator="containsText" id="{4BF0584B-FDC6-4771-A922-7DA808439BCE}">
            <xm:f>NOT(ISERROR(SEARCH($Q$12,Q222)))</xm:f>
            <xm:f>$Q$12</xm:f>
            <x14:dxf>
              <fill>
                <patternFill>
                  <bgColor rgb="FFFFC000"/>
                </patternFill>
              </fill>
            </x14:dxf>
          </x14:cfRule>
          <x14:cfRule type="containsText" priority="7937" operator="containsText" id="{2C9BEA1E-F367-4B61-99C0-3A952F91F69D}">
            <xm:f>NOT(ISERROR(SEARCH($Q$12,Q222)))</xm:f>
            <xm:f>$Q$12</xm:f>
            <x14:dxf>
              <fill>
                <patternFill>
                  <bgColor rgb="FFFF0000"/>
                </patternFill>
              </fill>
            </x14:dxf>
          </x14:cfRule>
          <x14:cfRule type="containsText" priority="7928" operator="containsText" id="{A1192951-ADD7-42B0-BC37-61477C97CF98}">
            <xm:f>NOT(ISERROR(SEARCH($Q$12,Q222)))</xm:f>
            <xm:f>$Q$12</xm:f>
            <x14:dxf>
              <fill>
                <patternFill>
                  <bgColor rgb="FF00B050"/>
                </patternFill>
              </fill>
            </x14:dxf>
          </x14:cfRule>
          <x14:cfRule type="containsText" priority="7935" operator="containsText" id="{4C932AE0-0BA3-40D9-8D46-3D72A53A91C9}">
            <xm:f>NOT(ISERROR(SEARCH($Q$12,Q222)))</xm:f>
            <xm:f>$Q$12</xm:f>
            <x14:dxf>
              <fill>
                <patternFill>
                  <bgColor rgb="FFFFFF00"/>
                </patternFill>
              </fill>
            </x14:dxf>
          </x14:cfRule>
          <xm:sqref>Q222</xm:sqref>
        </x14:conditionalFormatting>
        <x14:conditionalFormatting xmlns:xm="http://schemas.microsoft.com/office/excel/2006/main">
          <x14:cfRule type="containsText" priority="7889" operator="containsText" id="{D80775D1-A059-4362-8F36-3CCAAB4BBD7D}">
            <xm:f>NOT(ISERROR(SEARCH($Q$12,Q232)))</xm:f>
            <xm:f>$Q$12</xm:f>
            <x14:dxf>
              <fill>
                <patternFill>
                  <bgColor rgb="FFFF0000"/>
                </patternFill>
              </fill>
            </x14:dxf>
          </x14:cfRule>
          <x14:cfRule type="containsText" priority="7888" operator="containsText" id="{2A341B38-7FDB-4601-8454-8F8C91132EBB}">
            <xm:f>NOT(ISERROR(SEARCH($Q$12,Q232)))</xm:f>
            <xm:f>$Q$12</xm:f>
            <x14:dxf>
              <fill>
                <patternFill>
                  <bgColor rgb="FFFFC000"/>
                </patternFill>
              </fill>
            </x14:dxf>
          </x14:cfRule>
          <x14:cfRule type="containsText" priority="7887" operator="containsText" id="{77080C74-F344-427D-8CD1-9FC3E503F09A}">
            <xm:f>NOT(ISERROR(SEARCH($Q$12,Q232)))</xm:f>
            <xm:f>$Q$12</xm:f>
            <x14:dxf>
              <fill>
                <patternFill>
                  <bgColor rgb="FFFFFF00"/>
                </patternFill>
              </fill>
            </x14:dxf>
          </x14:cfRule>
          <x14:cfRule type="containsText" priority="7886" operator="containsText" id="{FB60F8FB-1B63-482B-8426-AE138F6B0179}">
            <xm:f>NOT(ISERROR(SEARCH($Q$12,Q232)))</xm:f>
            <xm:f>$Q$12</xm:f>
            <x14:dxf>
              <fill>
                <patternFill>
                  <bgColor theme="9"/>
                </patternFill>
              </fill>
            </x14:dxf>
          </x14:cfRule>
          <x14:cfRule type="containsText" priority="7885" operator="containsText" id="{FDFD6922-4C97-4F0B-AA07-19E057854EFA}">
            <xm:f>NOT(ISERROR(SEARCH($Q$12,Q232)))</xm:f>
            <xm:f>$Q$12</xm:f>
            <x14:dxf>
              <fill>
                <patternFill>
                  <bgColor theme="9" tint="0.59996337778862885"/>
                </patternFill>
              </fill>
            </x14:dxf>
          </x14:cfRule>
          <x14:cfRule type="containsText" priority="7884" operator="containsText" id="{7105EE9A-C063-4BC3-8104-995641E7FBAE}">
            <xm:f>NOT(ISERROR(SEARCH($Q$12,Q232)))</xm:f>
            <xm:f>$Q$12</xm:f>
            <x14:dxf>
              <fill>
                <patternFill>
                  <bgColor rgb="FFFF0000"/>
                </patternFill>
              </fill>
            </x14:dxf>
          </x14:cfRule>
          <x14:cfRule type="containsText" priority="7883" operator="containsText" id="{C9A3F561-9C4B-4CB3-99BA-D266829C89C2}">
            <xm:f>NOT(ISERROR(SEARCH($Q$12,Q232)))</xm:f>
            <xm:f>$Q$12</xm:f>
            <x14:dxf>
              <fill>
                <patternFill>
                  <bgColor rgb="FFFFC000"/>
                </patternFill>
              </fill>
            </x14:dxf>
          </x14:cfRule>
          <x14:cfRule type="containsText" priority="7882" operator="containsText" id="{3A01220C-2EAD-4DA3-89D1-F08392EC8338}">
            <xm:f>NOT(ISERROR(SEARCH($Q$12,Q232)))</xm:f>
            <xm:f>$Q$12</xm:f>
            <x14:dxf>
              <fill>
                <patternFill>
                  <bgColor rgb="FFFFFF00"/>
                </patternFill>
              </fill>
            </x14:dxf>
          </x14:cfRule>
          <x14:cfRule type="containsText" priority="7881" operator="containsText" id="{734C3A08-D0BF-45DD-8426-2E16FF08AE58}">
            <xm:f>NOT(ISERROR(SEARCH($Q$12,Q232)))</xm:f>
            <xm:f>$Q$12</xm:f>
            <x14:dxf/>
          </x14:cfRule>
          <x14:cfRule type="containsText" priority="7880" operator="containsText" id="{22B84ED5-1AAD-4DBE-A0F3-F88816A537EA}">
            <xm:f>NOT(ISERROR(SEARCH($Q$12,Q232)))</xm:f>
            <xm:f>$Q$12</xm:f>
            <x14:dxf>
              <fill>
                <patternFill>
                  <bgColor rgb="FF00B050"/>
                </patternFill>
              </fill>
            </x14:dxf>
          </x14:cfRule>
          <x14:cfRule type="containsText" priority="7879" operator="containsText" id="{45B0602C-7982-4176-BB58-244A8CB60736}">
            <xm:f>NOT(ISERROR(SEARCH($Q$12,Q232)))</xm:f>
            <xm:f>$Q$12</xm:f>
            <x14:dxf>
              <fill>
                <patternFill>
                  <bgColor theme="9" tint="0.39994506668294322"/>
                </patternFill>
              </fill>
            </x14:dxf>
          </x14:cfRule>
          <x14:cfRule type="containsText" priority="7878" operator="containsText" id="{DC8A0095-9406-4732-A1EC-42A6410F659B}">
            <xm:f>NOT(ISERROR(SEARCH($Q$12,Q232)))</xm:f>
            <xm:f>$Q$12</xm:f>
            <x14:dxf>
              <fill>
                <patternFill>
                  <bgColor theme="9" tint="0.79998168889431442"/>
                </patternFill>
              </fill>
            </x14:dxf>
          </x14:cfRule>
          <x14:cfRule type="containsText" priority="7877" operator="containsText" id="{FBF67514-DA3D-411A-A07E-915A7E2128B9}">
            <xm:f>NOT(ISERROR(SEARCH($Q$12,Q232)))</xm:f>
            <xm:f>$Q$12</xm:f>
            <x14:dxf>
              <fill>
                <patternFill>
                  <bgColor rgb="FFFFFF00"/>
                </patternFill>
              </fill>
            </x14:dxf>
          </x14:cfRule>
          <xm:sqref>Q232</xm:sqref>
        </x14:conditionalFormatting>
        <x14:conditionalFormatting xmlns:xm="http://schemas.microsoft.com/office/excel/2006/main">
          <x14:cfRule type="containsText" priority="7834" operator="containsText" id="{41DFCFBA-82D1-4651-82AB-A7D47214CBA3}">
            <xm:f>NOT(ISERROR(SEARCH($Q$12,Q242)))</xm:f>
            <xm:f>$Q$12</xm:f>
            <x14:dxf>
              <fill>
                <patternFill>
                  <bgColor rgb="FFFFFF00"/>
                </patternFill>
              </fill>
            </x14:dxf>
          </x14:cfRule>
          <x14:cfRule type="containsText" priority="7835" operator="containsText" id="{48A82989-5BD1-4375-8E86-483262D4C8F6}">
            <xm:f>NOT(ISERROR(SEARCH($Q$12,Q242)))</xm:f>
            <xm:f>$Q$12</xm:f>
            <x14:dxf>
              <fill>
                <patternFill>
                  <bgColor rgb="FFFFC000"/>
                </patternFill>
              </fill>
            </x14:dxf>
          </x14:cfRule>
          <x14:cfRule type="containsText" priority="7836" operator="containsText" id="{C3E71007-F0FC-4B2C-AAD3-A432D6575CD8}">
            <xm:f>NOT(ISERROR(SEARCH($Q$12,Q242)))</xm:f>
            <xm:f>$Q$12</xm:f>
            <x14:dxf>
              <fill>
                <patternFill>
                  <bgColor rgb="FFFF0000"/>
                </patternFill>
              </fill>
            </x14:dxf>
          </x14:cfRule>
          <x14:cfRule type="containsText" priority="7837" operator="containsText" id="{DCF1C9E0-A603-4E08-A039-AAEC89FB6E59}">
            <xm:f>NOT(ISERROR(SEARCH($Q$12,Q242)))</xm:f>
            <xm:f>$Q$12</xm:f>
            <x14:dxf>
              <fill>
                <patternFill>
                  <bgColor theme="9" tint="0.59996337778862885"/>
                </patternFill>
              </fill>
            </x14:dxf>
          </x14:cfRule>
          <x14:cfRule type="containsText" priority="7838" operator="containsText" id="{DE4BB123-CF96-457E-AEA8-D9CDAE54333E}">
            <xm:f>NOT(ISERROR(SEARCH($Q$12,Q242)))</xm:f>
            <xm:f>$Q$12</xm:f>
            <x14:dxf>
              <fill>
                <patternFill>
                  <bgColor theme="9"/>
                </patternFill>
              </fill>
            </x14:dxf>
          </x14:cfRule>
          <x14:cfRule type="containsText" priority="7839" operator="containsText" id="{56C8F6D8-23B9-480A-BFEB-81683FA58CC9}">
            <xm:f>NOT(ISERROR(SEARCH($Q$12,Q242)))</xm:f>
            <xm:f>$Q$12</xm:f>
            <x14:dxf>
              <fill>
                <patternFill>
                  <bgColor rgb="FFFFFF00"/>
                </patternFill>
              </fill>
            </x14:dxf>
          </x14:cfRule>
          <x14:cfRule type="containsText" priority="7840" operator="containsText" id="{18D7EB13-F5A3-4E5D-B2E1-F6567057472E}">
            <xm:f>NOT(ISERROR(SEARCH($Q$12,Q242)))</xm:f>
            <xm:f>$Q$12</xm:f>
            <x14:dxf>
              <fill>
                <patternFill>
                  <bgColor rgb="FFFFC000"/>
                </patternFill>
              </fill>
            </x14:dxf>
          </x14:cfRule>
          <x14:cfRule type="containsText" priority="7841" operator="containsText" id="{FC8355A9-01C3-4A41-946C-6F2587AA8848}">
            <xm:f>NOT(ISERROR(SEARCH($Q$12,Q242)))</xm:f>
            <xm:f>$Q$12</xm:f>
            <x14:dxf>
              <fill>
                <patternFill>
                  <bgColor rgb="FFFF0000"/>
                </patternFill>
              </fill>
            </x14:dxf>
          </x14:cfRule>
          <x14:cfRule type="containsText" priority="7831" operator="containsText" id="{69AABFDD-98D5-43B2-B002-19CAEC679223}">
            <xm:f>NOT(ISERROR(SEARCH($Q$12,Q242)))</xm:f>
            <xm:f>$Q$12</xm:f>
            <x14:dxf>
              <fill>
                <patternFill>
                  <bgColor theme="9" tint="0.39994506668294322"/>
                </patternFill>
              </fill>
            </x14:dxf>
          </x14:cfRule>
          <x14:cfRule type="containsText" priority="7830" operator="containsText" id="{446FBA4D-0106-4960-A63E-BC75CB9EF69D}">
            <xm:f>NOT(ISERROR(SEARCH($Q$12,Q242)))</xm:f>
            <xm:f>$Q$12</xm:f>
            <x14:dxf>
              <fill>
                <patternFill>
                  <bgColor theme="9" tint="0.79998168889431442"/>
                </patternFill>
              </fill>
            </x14:dxf>
          </x14:cfRule>
          <x14:cfRule type="containsText" priority="7829" operator="containsText" id="{13CD26DF-DE9E-4480-A025-E9297E7909C6}">
            <xm:f>NOT(ISERROR(SEARCH($Q$12,Q242)))</xm:f>
            <xm:f>$Q$12</xm:f>
            <x14:dxf>
              <fill>
                <patternFill>
                  <bgColor rgb="FFFFFF00"/>
                </patternFill>
              </fill>
            </x14:dxf>
          </x14:cfRule>
          <x14:cfRule type="containsText" priority="7832" operator="containsText" id="{5B561EFA-B06E-4B0F-B190-34DE393039B1}">
            <xm:f>NOT(ISERROR(SEARCH($Q$12,Q242)))</xm:f>
            <xm:f>$Q$12</xm:f>
            <x14:dxf>
              <fill>
                <patternFill>
                  <bgColor rgb="FF00B050"/>
                </patternFill>
              </fill>
            </x14:dxf>
          </x14:cfRule>
          <x14:cfRule type="containsText" priority="7833" operator="containsText" id="{628C42D7-399A-47CA-8B38-1AA6C16A1F29}">
            <xm:f>NOT(ISERROR(SEARCH($Q$12,Q242)))</xm:f>
            <xm:f>$Q$12</xm:f>
            <x14:dxf/>
          </x14:cfRule>
          <xm:sqref>Q242</xm:sqref>
        </x14:conditionalFormatting>
        <x14:conditionalFormatting xmlns:xm="http://schemas.microsoft.com/office/excel/2006/main">
          <x14:cfRule type="containsText" priority="7790" operator="containsText" id="{6DF9664A-0D94-46AB-BBF2-EB061A63EBC7}">
            <xm:f>NOT(ISERROR(SEARCH($Q$12,Q252)))</xm:f>
            <xm:f>$Q$12</xm:f>
            <x14:dxf>
              <fill>
                <patternFill>
                  <bgColor theme="9"/>
                </patternFill>
              </fill>
            </x14:dxf>
          </x14:cfRule>
          <x14:cfRule type="containsText" priority="7789" operator="containsText" id="{4A18B9D7-85C1-4EB0-A6D4-9177580C3D21}">
            <xm:f>NOT(ISERROR(SEARCH($Q$12,Q252)))</xm:f>
            <xm:f>$Q$12</xm:f>
            <x14:dxf>
              <fill>
                <patternFill>
                  <bgColor theme="9" tint="0.59996337778862885"/>
                </patternFill>
              </fill>
            </x14:dxf>
          </x14:cfRule>
          <x14:cfRule type="containsText" priority="7788" operator="containsText" id="{20C1795E-BDCD-45CA-B363-FEFE2612B09B}">
            <xm:f>NOT(ISERROR(SEARCH($Q$12,Q252)))</xm:f>
            <xm:f>$Q$12</xm:f>
            <x14:dxf>
              <fill>
                <patternFill>
                  <bgColor rgb="FFFF0000"/>
                </patternFill>
              </fill>
            </x14:dxf>
          </x14:cfRule>
          <x14:cfRule type="containsText" priority="7787" operator="containsText" id="{1A1F1030-23C6-48D2-9ED5-E9E448310493}">
            <xm:f>NOT(ISERROR(SEARCH($Q$12,Q252)))</xm:f>
            <xm:f>$Q$12</xm:f>
            <x14:dxf>
              <fill>
                <patternFill>
                  <bgColor rgb="FFFFC000"/>
                </patternFill>
              </fill>
            </x14:dxf>
          </x14:cfRule>
          <x14:cfRule type="containsText" priority="7793" operator="containsText" id="{F7D3BF2D-70F2-4E35-A58E-5608AB6CA795}">
            <xm:f>NOT(ISERROR(SEARCH($Q$12,Q252)))</xm:f>
            <xm:f>$Q$12</xm:f>
            <x14:dxf>
              <fill>
                <patternFill>
                  <bgColor rgb="FFFF0000"/>
                </patternFill>
              </fill>
            </x14:dxf>
          </x14:cfRule>
          <x14:cfRule type="containsText" priority="7786" operator="containsText" id="{CF89781C-80D7-49DF-B223-B8757FC90E93}">
            <xm:f>NOT(ISERROR(SEARCH($Q$12,Q252)))</xm:f>
            <xm:f>$Q$12</xm:f>
            <x14:dxf>
              <fill>
                <patternFill>
                  <bgColor rgb="FFFFFF00"/>
                </patternFill>
              </fill>
            </x14:dxf>
          </x14:cfRule>
          <x14:cfRule type="containsText" priority="7784" operator="containsText" id="{DF9167DF-10CE-49DC-8C9F-5B0D078A9ADF}">
            <xm:f>NOT(ISERROR(SEARCH($Q$12,Q252)))</xm:f>
            <xm:f>$Q$12</xm:f>
            <x14:dxf>
              <fill>
                <patternFill>
                  <bgColor rgb="FF00B050"/>
                </patternFill>
              </fill>
            </x14:dxf>
          </x14:cfRule>
          <x14:cfRule type="containsText" priority="7783" operator="containsText" id="{D995D3C0-21D3-497C-9BA6-5294D038F6ED}">
            <xm:f>NOT(ISERROR(SEARCH($Q$12,Q252)))</xm:f>
            <xm:f>$Q$12</xm:f>
            <x14:dxf>
              <fill>
                <patternFill>
                  <bgColor theme="9" tint="0.39994506668294322"/>
                </patternFill>
              </fill>
            </x14:dxf>
          </x14:cfRule>
          <x14:cfRule type="containsText" priority="7782" operator="containsText" id="{2740E715-7F8E-46BB-9EEC-E7DADE8D635B}">
            <xm:f>NOT(ISERROR(SEARCH($Q$12,Q252)))</xm:f>
            <xm:f>$Q$12</xm:f>
            <x14:dxf>
              <fill>
                <patternFill>
                  <bgColor theme="9" tint="0.79998168889431442"/>
                </patternFill>
              </fill>
            </x14:dxf>
          </x14:cfRule>
          <x14:cfRule type="containsText" priority="7781" operator="containsText" id="{C2397513-763E-400B-A51E-8BC494CFD1DB}">
            <xm:f>NOT(ISERROR(SEARCH($Q$12,Q252)))</xm:f>
            <xm:f>$Q$12</xm:f>
            <x14:dxf>
              <fill>
                <patternFill>
                  <bgColor rgb="FFFFFF00"/>
                </patternFill>
              </fill>
            </x14:dxf>
          </x14:cfRule>
          <x14:cfRule type="containsText" priority="7785" operator="containsText" id="{C5737EC0-2AA8-461F-BF4A-6988938B716E}">
            <xm:f>NOT(ISERROR(SEARCH($Q$12,Q252)))</xm:f>
            <xm:f>$Q$12</xm:f>
            <x14:dxf/>
          </x14:cfRule>
          <x14:cfRule type="containsText" priority="7792" operator="containsText" id="{10B8673C-95D5-485C-A528-1C40B4CCB6DD}">
            <xm:f>NOT(ISERROR(SEARCH($Q$12,Q252)))</xm:f>
            <xm:f>$Q$12</xm:f>
            <x14:dxf>
              <fill>
                <patternFill>
                  <bgColor rgb="FFFFC000"/>
                </patternFill>
              </fill>
            </x14:dxf>
          </x14:cfRule>
          <x14:cfRule type="containsText" priority="7791" operator="containsText" id="{56827561-7052-479E-B56F-656ED0F3D262}">
            <xm:f>NOT(ISERROR(SEARCH($Q$12,Q252)))</xm:f>
            <xm:f>$Q$12</xm:f>
            <x14:dxf>
              <fill>
                <patternFill>
                  <bgColor rgb="FFFFFF00"/>
                </patternFill>
              </fill>
            </x14:dxf>
          </x14:cfRule>
          <xm:sqref>Q252</xm:sqref>
        </x14:conditionalFormatting>
        <x14:conditionalFormatting xmlns:xm="http://schemas.microsoft.com/office/excel/2006/main">
          <x14:cfRule type="containsText" priority="7740" operator="containsText" id="{FD6769AA-47ED-4B85-860F-48DA61745DA9}">
            <xm:f>NOT(ISERROR(SEARCH($Q$12,Q262)))</xm:f>
            <xm:f>$Q$12</xm:f>
            <x14:dxf>
              <fill>
                <patternFill>
                  <bgColor rgb="FFFF0000"/>
                </patternFill>
              </fill>
            </x14:dxf>
          </x14:cfRule>
          <x14:cfRule type="containsText" priority="7734" operator="containsText" id="{02C4D4FD-48B0-4FCB-BFA5-5ECD3A0ECE21}">
            <xm:f>NOT(ISERROR(SEARCH($Q$12,Q262)))</xm:f>
            <xm:f>$Q$12</xm:f>
            <x14:dxf>
              <fill>
                <patternFill>
                  <bgColor theme="9" tint="0.79998168889431442"/>
                </patternFill>
              </fill>
            </x14:dxf>
          </x14:cfRule>
          <x14:cfRule type="containsText" priority="7733" operator="containsText" id="{D78CDB02-F396-4AAF-B36A-AEDFD3C1FEB1}">
            <xm:f>NOT(ISERROR(SEARCH($Q$12,Q262)))</xm:f>
            <xm:f>$Q$12</xm:f>
            <x14:dxf>
              <fill>
                <patternFill>
                  <bgColor rgb="FFFFFF00"/>
                </patternFill>
              </fill>
            </x14:dxf>
          </x14:cfRule>
          <x14:cfRule type="containsText" priority="7735" operator="containsText" id="{FF9F2CC7-C35B-45E9-B33E-949AE46C4036}">
            <xm:f>NOT(ISERROR(SEARCH($Q$12,Q262)))</xm:f>
            <xm:f>$Q$12</xm:f>
            <x14:dxf>
              <fill>
                <patternFill>
                  <bgColor theme="9" tint="0.39994506668294322"/>
                </patternFill>
              </fill>
            </x14:dxf>
          </x14:cfRule>
          <x14:cfRule type="containsText" priority="7736" operator="containsText" id="{481FB7FC-0A79-498F-BAB3-FB1AE1C03BFB}">
            <xm:f>NOT(ISERROR(SEARCH($Q$12,Q262)))</xm:f>
            <xm:f>$Q$12</xm:f>
            <x14:dxf>
              <fill>
                <patternFill>
                  <bgColor rgb="FF00B050"/>
                </patternFill>
              </fill>
            </x14:dxf>
          </x14:cfRule>
          <x14:cfRule type="containsText" priority="7737" operator="containsText" id="{420FFB5B-C843-4065-B20B-49D7F0526013}">
            <xm:f>NOT(ISERROR(SEARCH($Q$12,Q262)))</xm:f>
            <xm:f>$Q$12</xm:f>
            <x14:dxf/>
          </x14:cfRule>
          <x14:cfRule type="containsText" priority="7745" operator="containsText" id="{58F7109F-33F5-47EE-9525-6846C23C1A73}">
            <xm:f>NOT(ISERROR(SEARCH($Q$12,Q262)))</xm:f>
            <xm:f>$Q$12</xm:f>
            <x14:dxf>
              <fill>
                <patternFill>
                  <bgColor rgb="FFFF0000"/>
                </patternFill>
              </fill>
            </x14:dxf>
          </x14:cfRule>
          <x14:cfRule type="containsText" priority="7744" operator="containsText" id="{F977A4EC-8C11-4567-AA2D-1634CD0C2EF2}">
            <xm:f>NOT(ISERROR(SEARCH($Q$12,Q262)))</xm:f>
            <xm:f>$Q$12</xm:f>
            <x14:dxf>
              <fill>
                <patternFill>
                  <bgColor rgb="FFFFC000"/>
                </patternFill>
              </fill>
            </x14:dxf>
          </x14:cfRule>
          <x14:cfRule type="containsText" priority="7743" operator="containsText" id="{A75FD357-E373-4F00-B38F-8FF8F766C048}">
            <xm:f>NOT(ISERROR(SEARCH($Q$12,Q262)))</xm:f>
            <xm:f>$Q$12</xm:f>
            <x14:dxf>
              <fill>
                <patternFill>
                  <bgColor rgb="FFFFFF00"/>
                </patternFill>
              </fill>
            </x14:dxf>
          </x14:cfRule>
          <x14:cfRule type="containsText" priority="7742" operator="containsText" id="{B3E15C40-6516-4791-9308-A97CC2C23990}">
            <xm:f>NOT(ISERROR(SEARCH($Q$12,Q262)))</xm:f>
            <xm:f>$Q$12</xm:f>
            <x14:dxf>
              <fill>
                <patternFill>
                  <bgColor theme="9"/>
                </patternFill>
              </fill>
            </x14:dxf>
          </x14:cfRule>
          <x14:cfRule type="containsText" priority="7741" operator="containsText" id="{BC6886BD-17E0-4BDE-9ABB-45AF5630EEA9}">
            <xm:f>NOT(ISERROR(SEARCH($Q$12,Q262)))</xm:f>
            <xm:f>$Q$12</xm:f>
            <x14:dxf>
              <fill>
                <patternFill>
                  <bgColor theme="9" tint="0.59996337778862885"/>
                </patternFill>
              </fill>
            </x14:dxf>
          </x14:cfRule>
          <x14:cfRule type="containsText" priority="7739" operator="containsText" id="{8928EA30-CD30-47AA-98FE-598976EDBC20}">
            <xm:f>NOT(ISERROR(SEARCH($Q$12,Q262)))</xm:f>
            <xm:f>$Q$12</xm:f>
            <x14:dxf>
              <fill>
                <patternFill>
                  <bgColor rgb="FFFFC000"/>
                </patternFill>
              </fill>
            </x14:dxf>
          </x14:cfRule>
          <x14:cfRule type="containsText" priority="7738" operator="containsText" id="{82F5039B-0FBD-4E56-BCD0-C199EA6B6A13}">
            <xm:f>NOT(ISERROR(SEARCH($Q$12,Q262)))</xm:f>
            <xm:f>$Q$12</xm:f>
            <x14:dxf>
              <fill>
                <patternFill>
                  <bgColor rgb="FFFFFF00"/>
                </patternFill>
              </fill>
            </x14:dxf>
          </x14:cfRule>
          <xm:sqref>Q262</xm:sqref>
        </x14:conditionalFormatting>
        <x14:conditionalFormatting xmlns:xm="http://schemas.microsoft.com/office/excel/2006/main">
          <x14:cfRule type="containsText" priority="7691" operator="containsText" id="{F46EAA7E-50F7-40D3-91AE-BD665EFABD41}">
            <xm:f>NOT(ISERROR(SEARCH($Q$12,Q272)))</xm:f>
            <xm:f>$Q$12</xm:f>
            <x14:dxf>
              <fill>
                <patternFill>
                  <bgColor rgb="FFFFC000"/>
                </patternFill>
              </fill>
            </x14:dxf>
          </x14:cfRule>
          <x14:cfRule type="containsText" priority="7692" operator="containsText" id="{EA8DC338-7C72-4C92-BAE1-5B34A9BFB7B4}">
            <xm:f>NOT(ISERROR(SEARCH($Q$12,Q272)))</xm:f>
            <xm:f>$Q$12</xm:f>
            <x14:dxf>
              <fill>
                <patternFill>
                  <bgColor rgb="FFFF0000"/>
                </patternFill>
              </fill>
            </x14:dxf>
          </x14:cfRule>
          <x14:cfRule type="containsText" priority="7693" operator="containsText" id="{3DF73A2F-A6A6-4D77-BDA8-FD3A65BBFC4E}">
            <xm:f>NOT(ISERROR(SEARCH($Q$12,Q272)))</xm:f>
            <xm:f>$Q$12</xm:f>
            <x14:dxf>
              <fill>
                <patternFill>
                  <bgColor theme="9" tint="0.59996337778862885"/>
                </patternFill>
              </fill>
            </x14:dxf>
          </x14:cfRule>
          <x14:cfRule type="containsText" priority="7694" operator="containsText" id="{C5D89CB9-5547-4C30-81DC-76BE2AEB74A1}">
            <xm:f>NOT(ISERROR(SEARCH($Q$12,Q272)))</xm:f>
            <xm:f>$Q$12</xm:f>
            <x14:dxf>
              <fill>
                <patternFill>
                  <bgColor theme="9"/>
                </patternFill>
              </fill>
            </x14:dxf>
          </x14:cfRule>
          <x14:cfRule type="containsText" priority="7696" operator="containsText" id="{3237B7F6-C501-450E-97B5-9AFBB0E0656B}">
            <xm:f>NOT(ISERROR(SEARCH($Q$12,Q272)))</xm:f>
            <xm:f>$Q$12</xm:f>
            <x14:dxf>
              <fill>
                <patternFill>
                  <bgColor rgb="FFFFC000"/>
                </patternFill>
              </fill>
            </x14:dxf>
          </x14:cfRule>
          <x14:cfRule type="containsText" priority="7697" operator="containsText" id="{C9F33B14-AB01-4FA2-B568-4036620A6DF5}">
            <xm:f>NOT(ISERROR(SEARCH($Q$12,Q272)))</xm:f>
            <xm:f>$Q$12</xm:f>
            <x14:dxf>
              <fill>
                <patternFill>
                  <bgColor rgb="FFFF0000"/>
                </patternFill>
              </fill>
            </x14:dxf>
          </x14:cfRule>
          <x14:cfRule type="containsText" priority="7695" operator="containsText" id="{FA19439B-DF4A-45F8-A262-D7EEEB3BD6E6}">
            <xm:f>NOT(ISERROR(SEARCH($Q$12,Q272)))</xm:f>
            <xm:f>$Q$12</xm:f>
            <x14:dxf>
              <fill>
                <patternFill>
                  <bgColor rgb="FFFFFF00"/>
                </patternFill>
              </fill>
            </x14:dxf>
          </x14:cfRule>
          <x14:cfRule type="containsText" priority="7685" operator="containsText" id="{CC4BDD3B-31CC-49CC-B32B-5F9456E9E8DD}">
            <xm:f>NOT(ISERROR(SEARCH($Q$12,Q272)))</xm:f>
            <xm:f>$Q$12</xm:f>
            <x14:dxf>
              <fill>
                <patternFill>
                  <bgColor rgb="FFFFFF00"/>
                </patternFill>
              </fill>
            </x14:dxf>
          </x14:cfRule>
          <x14:cfRule type="containsText" priority="7686" operator="containsText" id="{5ACCE4EF-3949-48C5-A1FF-CB09C461C51E}">
            <xm:f>NOT(ISERROR(SEARCH($Q$12,Q272)))</xm:f>
            <xm:f>$Q$12</xm:f>
            <x14:dxf>
              <fill>
                <patternFill>
                  <bgColor theme="9" tint="0.79998168889431442"/>
                </patternFill>
              </fill>
            </x14:dxf>
          </x14:cfRule>
          <x14:cfRule type="containsText" priority="7687" operator="containsText" id="{1E034764-76BD-459C-8FD7-DA543D3089AC}">
            <xm:f>NOT(ISERROR(SEARCH($Q$12,Q272)))</xm:f>
            <xm:f>$Q$12</xm:f>
            <x14:dxf>
              <fill>
                <patternFill>
                  <bgColor theme="9" tint="0.39994506668294322"/>
                </patternFill>
              </fill>
            </x14:dxf>
          </x14:cfRule>
          <x14:cfRule type="containsText" priority="7688" operator="containsText" id="{183789C1-E220-4516-8060-A44304E3A991}">
            <xm:f>NOT(ISERROR(SEARCH($Q$12,Q272)))</xm:f>
            <xm:f>$Q$12</xm:f>
            <x14:dxf>
              <fill>
                <patternFill>
                  <bgColor rgb="FF00B050"/>
                </patternFill>
              </fill>
            </x14:dxf>
          </x14:cfRule>
          <x14:cfRule type="containsText" priority="7689" operator="containsText" id="{626D69F5-04C1-43A0-82A8-09DA3F4B0444}">
            <xm:f>NOT(ISERROR(SEARCH($Q$12,Q272)))</xm:f>
            <xm:f>$Q$12</xm:f>
            <x14:dxf/>
          </x14:cfRule>
          <x14:cfRule type="containsText" priority="7690" operator="containsText" id="{F12324E0-A294-4DAE-9351-52AAD94E219B}">
            <xm:f>NOT(ISERROR(SEARCH($Q$12,Q272)))</xm:f>
            <xm:f>$Q$12</xm:f>
            <x14:dxf>
              <fill>
                <patternFill>
                  <bgColor rgb="FFFFFF00"/>
                </patternFill>
              </fill>
            </x14:dxf>
          </x14:cfRule>
          <xm:sqref>Q272</xm:sqref>
        </x14:conditionalFormatting>
        <x14:conditionalFormatting xmlns:xm="http://schemas.microsoft.com/office/excel/2006/main">
          <x14:cfRule type="containsText" priority="7641" operator="containsText" id="{C5D914DC-B237-4B9C-AD5D-E64A4257F83E}">
            <xm:f>NOT(ISERROR(SEARCH($Q$12,Q282)))</xm:f>
            <xm:f>$Q$12</xm:f>
            <x14:dxf/>
          </x14:cfRule>
          <x14:cfRule type="containsText" priority="7642" operator="containsText" id="{15879A36-9E92-428E-A63C-A273445A0242}">
            <xm:f>NOT(ISERROR(SEARCH($Q$12,Q282)))</xm:f>
            <xm:f>$Q$12</xm:f>
            <x14:dxf>
              <fill>
                <patternFill>
                  <bgColor rgb="FFFFFF00"/>
                </patternFill>
              </fill>
            </x14:dxf>
          </x14:cfRule>
          <x14:cfRule type="containsText" priority="7643" operator="containsText" id="{E024E613-FB58-4C51-B0CD-85E3D5D4F033}">
            <xm:f>NOT(ISERROR(SEARCH($Q$12,Q282)))</xm:f>
            <xm:f>$Q$12</xm:f>
            <x14:dxf>
              <fill>
                <patternFill>
                  <bgColor rgb="FFFFC000"/>
                </patternFill>
              </fill>
            </x14:dxf>
          </x14:cfRule>
          <x14:cfRule type="containsText" priority="7644" operator="containsText" id="{98F1A083-93CD-48B9-9FCB-0D23E74C3C80}">
            <xm:f>NOT(ISERROR(SEARCH($Q$12,Q282)))</xm:f>
            <xm:f>$Q$12</xm:f>
            <x14:dxf>
              <fill>
                <patternFill>
                  <bgColor rgb="FFFF0000"/>
                </patternFill>
              </fill>
            </x14:dxf>
          </x14:cfRule>
          <x14:cfRule type="containsText" priority="7645" operator="containsText" id="{F99FF7C6-55DA-4DCB-B237-81BFB042F001}">
            <xm:f>NOT(ISERROR(SEARCH($Q$12,Q282)))</xm:f>
            <xm:f>$Q$12</xm:f>
            <x14:dxf>
              <fill>
                <patternFill>
                  <bgColor theme="9" tint="0.59996337778862885"/>
                </patternFill>
              </fill>
            </x14:dxf>
          </x14:cfRule>
          <x14:cfRule type="containsText" priority="7649" operator="containsText" id="{BED1B32D-86D8-4E87-954C-12B355E9D11E}">
            <xm:f>NOT(ISERROR(SEARCH($Q$12,Q282)))</xm:f>
            <xm:f>$Q$12</xm:f>
            <x14:dxf>
              <fill>
                <patternFill>
                  <bgColor rgb="FFFF0000"/>
                </patternFill>
              </fill>
            </x14:dxf>
          </x14:cfRule>
          <x14:cfRule type="containsText" priority="7646" operator="containsText" id="{B8DA12AA-0E1D-4C17-B50B-B4C8F0578A00}">
            <xm:f>NOT(ISERROR(SEARCH($Q$12,Q282)))</xm:f>
            <xm:f>$Q$12</xm:f>
            <x14:dxf>
              <fill>
                <patternFill>
                  <bgColor theme="9"/>
                </patternFill>
              </fill>
            </x14:dxf>
          </x14:cfRule>
          <x14:cfRule type="containsText" priority="7647" operator="containsText" id="{C87BCB2C-773C-4322-93D3-1A543471F9E3}">
            <xm:f>NOT(ISERROR(SEARCH($Q$12,Q282)))</xm:f>
            <xm:f>$Q$12</xm:f>
            <x14:dxf>
              <fill>
                <patternFill>
                  <bgColor rgb="FFFFFF00"/>
                </patternFill>
              </fill>
            </x14:dxf>
          </x14:cfRule>
          <x14:cfRule type="containsText" priority="7648" operator="containsText" id="{C0CA0AB2-54B3-4F8C-9BA2-4005F8BFD462}">
            <xm:f>NOT(ISERROR(SEARCH($Q$12,Q282)))</xm:f>
            <xm:f>$Q$12</xm:f>
            <x14:dxf>
              <fill>
                <patternFill>
                  <bgColor rgb="FFFFC000"/>
                </patternFill>
              </fill>
            </x14:dxf>
          </x14:cfRule>
          <x14:cfRule type="containsText" priority="7637" operator="containsText" id="{6702E2B2-6282-48F6-A445-F7C6C65DA5DE}">
            <xm:f>NOT(ISERROR(SEARCH($Q$12,Q282)))</xm:f>
            <xm:f>$Q$12</xm:f>
            <x14:dxf>
              <fill>
                <patternFill>
                  <bgColor rgb="FFFFFF00"/>
                </patternFill>
              </fill>
            </x14:dxf>
          </x14:cfRule>
          <x14:cfRule type="containsText" priority="7638" operator="containsText" id="{6E3757C5-C882-4029-8192-3B592524E9BB}">
            <xm:f>NOT(ISERROR(SEARCH($Q$12,Q282)))</xm:f>
            <xm:f>$Q$12</xm:f>
            <x14:dxf>
              <fill>
                <patternFill>
                  <bgColor theme="9" tint="0.79998168889431442"/>
                </patternFill>
              </fill>
            </x14:dxf>
          </x14:cfRule>
          <x14:cfRule type="containsText" priority="7639" operator="containsText" id="{2D00F4C7-403B-4C0A-A600-D595FA358F9A}">
            <xm:f>NOT(ISERROR(SEARCH($Q$12,Q282)))</xm:f>
            <xm:f>$Q$12</xm:f>
            <x14:dxf>
              <fill>
                <patternFill>
                  <bgColor theme="9" tint="0.39994506668294322"/>
                </patternFill>
              </fill>
            </x14:dxf>
          </x14:cfRule>
          <x14:cfRule type="containsText" priority="7640" operator="containsText" id="{A4E43785-478C-4A02-8E2E-A24658EC52DB}">
            <xm:f>NOT(ISERROR(SEARCH($Q$12,Q282)))</xm:f>
            <xm:f>$Q$12</xm:f>
            <x14:dxf>
              <fill>
                <patternFill>
                  <bgColor rgb="FF00B050"/>
                </patternFill>
              </fill>
            </x14:dxf>
          </x14:cfRule>
          <xm:sqref>Q282</xm:sqref>
        </x14:conditionalFormatting>
        <x14:conditionalFormatting xmlns:xm="http://schemas.microsoft.com/office/excel/2006/main">
          <x14:cfRule type="containsText" priority="7591" operator="containsText" id="{02E9DD23-5D05-4ADA-BD35-BA0C01A6B50A}">
            <xm:f>NOT(ISERROR(SEARCH($Q$12,Q292)))</xm:f>
            <xm:f>$Q$12</xm:f>
            <x14:dxf>
              <fill>
                <patternFill>
                  <bgColor theme="9" tint="0.39994506668294322"/>
                </patternFill>
              </fill>
            </x14:dxf>
          </x14:cfRule>
          <x14:cfRule type="containsText" priority="7590" operator="containsText" id="{69E12724-0B1A-4AB6-8802-59FED33D7BFA}">
            <xm:f>NOT(ISERROR(SEARCH($Q$12,Q292)))</xm:f>
            <xm:f>$Q$12</xm:f>
            <x14:dxf>
              <fill>
                <patternFill>
                  <bgColor theme="9" tint="0.79998168889431442"/>
                </patternFill>
              </fill>
            </x14:dxf>
          </x14:cfRule>
          <x14:cfRule type="containsText" priority="7589" operator="containsText" id="{6FB13161-E1AA-44BC-8809-FFC98F2E9890}">
            <xm:f>NOT(ISERROR(SEARCH($Q$12,Q292)))</xm:f>
            <xm:f>$Q$12</xm:f>
            <x14:dxf>
              <fill>
                <patternFill>
                  <bgColor rgb="FFFFFF00"/>
                </patternFill>
              </fill>
            </x14:dxf>
          </x14:cfRule>
          <x14:cfRule type="containsText" priority="7593" operator="containsText" id="{B795CAA8-1831-44A8-A713-A811851EF1A1}">
            <xm:f>NOT(ISERROR(SEARCH($Q$12,Q292)))</xm:f>
            <xm:f>$Q$12</xm:f>
            <x14:dxf/>
          </x14:cfRule>
          <x14:cfRule type="containsText" priority="7601" operator="containsText" id="{D6EB0EB1-0D70-40C7-BB06-A770E3A3E7DB}">
            <xm:f>NOT(ISERROR(SEARCH($Q$12,Q292)))</xm:f>
            <xm:f>$Q$12</xm:f>
            <x14:dxf>
              <fill>
                <patternFill>
                  <bgColor rgb="FFFF0000"/>
                </patternFill>
              </fill>
            </x14:dxf>
          </x14:cfRule>
          <x14:cfRule type="containsText" priority="7600" operator="containsText" id="{7EC09A95-5201-4FA8-9111-0AA422E389CD}">
            <xm:f>NOT(ISERROR(SEARCH($Q$12,Q292)))</xm:f>
            <xm:f>$Q$12</xm:f>
            <x14:dxf>
              <fill>
                <patternFill>
                  <bgColor rgb="FFFFC000"/>
                </patternFill>
              </fill>
            </x14:dxf>
          </x14:cfRule>
          <x14:cfRule type="containsText" priority="7599" operator="containsText" id="{BF940024-46B3-44AB-8702-9FE78E4A0DB1}">
            <xm:f>NOT(ISERROR(SEARCH($Q$12,Q292)))</xm:f>
            <xm:f>$Q$12</xm:f>
            <x14:dxf>
              <fill>
                <patternFill>
                  <bgColor rgb="FFFFFF00"/>
                </patternFill>
              </fill>
            </x14:dxf>
          </x14:cfRule>
          <x14:cfRule type="containsText" priority="7598" operator="containsText" id="{EB3F2498-5233-43BA-B982-F40C092BB706}">
            <xm:f>NOT(ISERROR(SEARCH($Q$12,Q292)))</xm:f>
            <xm:f>$Q$12</xm:f>
            <x14:dxf>
              <fill>
                <patternFill>
                  <bgColor theme="9"/>
                </patternFill>
              </fill>
            </x14:dxf>
          </x14:cfRule>
          <x14:cfRule type="containsText" priority="7597" operator="containsText" id="{EC397A90-78B6-44BE-8479-3324B9E34D65}">
            <xm:f>NOT(ISERROR(SEARCH($Q$12,Q292)))</xm:f>
            <xm:f>$Q$12</xm:f>
            <x14:dxf>
              <fill>
                <patternFill>
                  <bgColor theme="9" tint="0.59996337778862885"/>
                </patternFill>
              </fill>
            </x14:dxf>
          </x14:cfRule>
          <x14:cfRule type="containsText" priority="7596" operator="containsText" id="{DEE66F31-4E38-4ACD-8911-27DBA8B29F00}">
            <xm:f>NOT(ISERROR(SEARCH($Q$12,Q292)))</xm:f>
            <xm:f>$Q$12</xm:f>
            <x14:dxf>
              <fill>
                <patternFill>
                  <bgColor rgb="FFFF0000"/>
                </patternFill>
              </fill>
            </x14:dxf>
          </x14:cfRule>
          <x14:cfRule type="containsText" priority="7595" operator="containsText" id="{FF83BDE8-83DE-46DB-8E3C-3F8839C5B734}">
            <xm:f>NOT(ISERROR(SEARCH($Q$12,Q292)))</xm:f>
            <xm:f>$Q$12</xm:f>
            <x14:dxf>
              <fill>
                <patternFill>
                  <bgColor rgb="FFFFC000"/>
                </patternFill>
              </fill>
            </x14:dxf>
          </x14:cfRule>
          <x14:cfRule type="containsText" priority="7594" operator="containsText" id="{A9302932-3B6A-4231-9A0C-881A5FF4E05E}">
            <xm:f>NOT(ISERROR(SEARCH($Q$12,Q292)))</xm:f>
            <xm:f>$Q$12</xm:f>
            <x14:dxf>
              <fill>
                <patternFill>
                  <bgColor rgb="FFFFFF00"/>
                </patternFill>
              </fill>
            </x14:dxf>
          </x14:cfRule>
          <x14:cfRule type="containsText" priority="7592" operator="containsText" id="{CEAC5BD0-B7EA-4107-A88D-748DB0F91C47}">
            <xm:f>NOT(ISERROR(SEARCH($Q$12,Q292)))</xm:f>
            <xm:f>$Q$12</xm:f>
            <x14:dxf>
              <fill>
                <patternFill>
                  <bgColor rgb="FF00B050"/>
                </patternFill>
              </fill>
            </x14:dxf>
          </x14:cfRule>
          <xm:sqref>Q292</xm:sqref>
        </x14:conditionalFormatting>
        <x14:conditionalFormatting xmlns:xm="http://schemas.microsoft.com/office/excel/2006/main">
          <x14:cfRule type="containsText" priority="7541" operator="containsText" id="{FE29F083-EE8E-4E3F-B61E-3F823276DDBE}">
            <xm:f>NOT(ISERROR(SEARCH($Q$12,Q302)))</xm:f>
            <xm:f>$Q$12</xm:f>
            <x14:dxf>
              <fill>
                <patternFill>
                  <bgColor rgb="FFFFFF00"/>
                </patternFill>
              </fill>
            </x14:dxf>
          </x14:cfRule>
          <x14:cfRule type="containsText" priority="7542" operator="containsText" id="{D3CBBB41-FF86-46C5-A8DE-E6B1FB2B3F2E}">
            <xm:f>NOT(ISERROR(SEARCH($Q$12,Q302)))</xm:f>
            <xm:f>$Q$12</xm:f>
            <x14:dxf>
              <fill>
                <patternFill>
                  <bgColor theme="9" tint="0.79998168889431442"/>
                </patternFill>
              </fill>
            </x14:dxf>
          </x14:cfRule>
          <x14:cfRule type="containsText" priority="7543" operator="containsText" id="{380331BA-66E3-4870-82CA-E3ACA2A315AF}">
            <xm:f>NOT(ISERROR(SEARCH($Q$12,Q302)))</xm:f>
            <xm:f>$Q$12</xm:f>
            <x14:dxf>
              <fill>
                <patternFill>
                  <bgColor theme="9" tint="0.39994506668294322"/>
                </patternFill>
              </fill>
            </x14:dxf>
          </x14:cfRule>
          <x14:cfRule type="containsText" priority="7545" operator="containsText" id="{D6714B78-4765-4CBF-90C3-E7E81676EFB8}">
            <xm:f>NOT(ISERROR(SEARCH($Q$12,Q302)))</xm:f>
            <xm:f>$Q$12</xm:f>
            <x14:dxf/>
          </x14:cfRule>
          <x14:cfRule type="containsText" priority="7546" operator="containsText" id="{9967634E-8A2C-41BC-A52F-B26C2B71A869}">
            <xm:f>NOT(ISERROR(SEARCH($Q$12,Q302)))</xm:f>
            <xm:f>$Q$12</xm:f>
            <x14:dxf>
              <fill>
                <patternFill>
                  <bgColor rgb="FFFFFF00"/>
                </patternFill>
              </fill>
            </x14:dxf>
          </x14:cfRule>
          <x14:cfRule type="containsText" priority="7544" operator="containsText" id="{2A02B1C0-4071-415D-8CF7-D90DD2742620}">
            <xm:f>NOT(ISERROR(SEARCH($Q$12,Q302)))</xm:f>
            <xm:f>$Q$12</xm:f>
            <x14:dxf>
              <fill>
                <patternFill>
                  <bgColor rgb="FF00B050"/>
                </patternFill>
              </fill>
            </x14:dxf>
          </x14:cfRule>
          <x14:cfRule type="containsText" priority="7553" operator="containsText" id="{B2091E7F-A54B-4AE4-90DC-0AEB894AFDC7}">
            <xm:f>NOT(ISERROR(SEARCH($Q$12,Q302)))</xm:f>
            <xm:f>$Q$12</xm:f>
            <x14:dxf>
              <fill>
                <patternFill>
                  <bgColor rgb="FFFF0000"/>
                </patternFill>
              </fill>
            </x14:dxf>
          </x14:cfRule>
          <x14:cfRule type="containsText" priority="7552" operator="containsText" id="{2E741EFE-F7BB-435C-ABC6-CB96FD89CD66}">
            <xm:f>NOT(ISERROR(SEARCH($Q$12,Q302)))</xm:f>
            <xm:f>$Q$12</xm:f>
            <x14:dxf>
              <fill>
                <patternFill>
                  <bgColor rgb="FFFFC000"/>
                </patternFill>
              </fill>
            </x14:dxf>
          </x14:cfRule>
          <x14:cfRule type="containsText" priority="7551" operator="containsText" id="{6BE3732B-863B-4B1E-86DE-D7D15B8AFCC3}">
            <xm:f>NOT(ISERROR(SEARCH($Q$12,Q302)))</xm:f>
            <xm:f>$Q$12</xm:f>
            <x14:dxf>
              <fill>
                <patternFill>
                  <bgColor rgb="FFFFFF00"/>
                </patternFill>
              </fill>
            </x14:dxf>
          </x14:cfRule>
          <x14:cfRule type="containsText" priority="7550" operator="containsText" id="{53C3F1BD-6EAE-4B4B-8C4D-8715BBE8EF95}">
            <xm:f>NOT(ISERROR(SEARCH($Q$12,Q302)))</xm:f>
            <xm:f>$Q$12</xm:f>
            <x14:dxf>
              <fill>
                <patternFill>
                  <bgColor theme="9"/>
                </patternFill>
              </fill>
            </x14:dxf>
          </x14:cfRule>
          <x14:cfRule type="containsText" priority="7549" operator="containsText" id="{22BEE88F-F0A6-4E37-BF40-B27671D29DCA}">
            <xm:f>NOT(ISERROR(SEARCH($Q$12,Q302)))</xm:f>
            <xm:f>$Q$12</xm:f>
            <x14:dxf>
              <fill>
                <patternFill>
                  <bgColor theme="9" tint="0.59996337778862885"/>
                </patternFill>
              </fill>
            </x14:dxf>
          </x14:cfRule>
          <x14:cfRule type="containsText" priority="7548" operator="containsText" id="{C18D1EB8-B0DD-4573-AA82-A625FD5B5C45}">
            <xm:f>NOT(ISERROR(SEARCH($Q$12,Q302)))</xm:f>
            <xm:f>$Q$12</xm:f>
            <x14:dxf>
              <fill>
                <patternFill>
                  <bgColor rgb="FFFF0000"/>
                </patternFill>
              </fill>
            </x14:dxf>
          </x14:cfRule>
          <x14:cfRule type="containsText" priority="7547" operator="containsText" id="{52BB0CBC-9E09-418F-8446-33CFC671FA0E}">
            <xm:f>NOT(ISERROR(SEARCH($Q$12,Q302)))</xm:f>
            <xm:f>$Q$12</xm:f>
            <x14:dxf>
              <fill>
                <patternFill>
                  <bgColor rgb="FFFFC000"/>
                </patternFill>
              </fill>
            </x14:dxf>
          </x14:cfRule>
          <xm:sqref>Q302</xm:sqref>
        </x14:conditionalFormatting>
        <x14:conditionalFormatting xmlns:xm="http://schemas.microsoft.com/office/excel/2006/main">
          <x14:cfRule type="containsText" priority="7160" operator="containsText" id="{19690ACB-6829-43D8-A864-ECFB6448A737}">
            <xm:f>NOT(ISERROR(SEARCH($Q$12,Q312)))</xm:f>
            <xm:f>$Q$12</xm:f>
            <x14:dxf>
              <fill>
                <patternFill>
                  <bgColor theme="9" tint="0.79998168889431442"/>
                </patternFill>
              </fill>
            </x14:dxf>
          </x14:cfRule>
          <x14:cfRule type="containsText" priority="7161" operator="containsText" id="{AF2CCD7F-EA81-4A57-9A7C-21B130DCCFE3}">
            <xm:f>NOT(ISERROR(SEARCH($Q$12,Q312)))</xm:f>
            <xm:f>$Q$12</xm:f>
            <x14:dxf>
              <fill>
                <patternFill>
                  <bgColor theme="9" tint="0.39994506668294322"/>
                </patternFill>
              </fill>
            </x14:dxf>
          </x14:cfRule>
          <x14:cfRule type="containsText" priority="7162" operator="containsText" id="{32F0D808-73EB-486D-BD63-1E356C411889}">
            <xm:f>NOT(ISERROR(SEARCH($Q$12,Q312)))</xm:f>
            <xm:f>$Q$12</xm:f>
            <x14:dxf>
              <fill>
                <patternFill>
                  <bgColor rgb="FF00B050"/>
                </patternFill>
              </fill>
            </x14:dxf>
          </x14:cfRule>
          <x14:cfRule type="containsText" priority="7163" operator="containsText" id="{FD9E2695-4A93-44F8-B56C-AACF968B0C15}">
            <xm:f>NOT(ISERROR(SEARCH($Q$12,Q312)))</xm:f>
            <xm:f>$Q$12</xm:f>
            <x14:dxf/>
          </x14:cfRule>
          <x14:cfRule type="containsText" priority="7164" operator="containsText" id="{EC289770-5868-4BD2-835E-578BEC759BFE}">
            <xm:f>NOT(ISERROR(SEARCH($Q$12,Q312)))</xm:f>
            <xm:f>$Q$12</xm:f>
            <x14:dxf>
              <fill>
                <patternFill>
                  <bgColor rgb="FFFFFF00"/>
                </patternFill>
              </fill>
            </x14:dxf>
          </x14:cfRule>
          <x14:cfRule type="containsText" priority="7165" operator="containsText" id="{0D49E7FC-41F1-4D58-8364-DA27F9B4886E}">
            <xm:f>NOT(ISERROR(SEARCH($Q$12,Q312)))</xm:f>
            <xm:f>$Q$12</xm:f>
            <x14:dxf>
              <fill>
                <patternFill>
                  <bgColor rgb="FFFFC000"/>
                </patternFill>
              </fill>
            </x14:dxf>
          </x14:cfRule>
          <x14:cfRule type="containsText" priority="7166" operator="containsText" id="{E7694CF2-0E48-48B2-97FD-8AA05F99290E}">
            <xm:f>NOT(ISERROR(SEARCH($Q$12,Q312)))</xm:f>
            <xm:f>$Q$12</xm:f>
            <x14:dxf>
              <fill>
                <patternFill>
                  <bgColor rgb="FFFF0000"/>
                </patternFill>
              </fill>
            </x14:dxf>
          </x14:cfRule>
          <x14:cfRule type="containsText" priority="7167" operator="containsText" id="{2630630C-B29B-4CDA-8EC4-92BEAEB34C4B}">
            <xm:f>NOT(ISERROR(SEARCH($Q$12,Q312)))</xm:f>
            <xm:f>$Q$12</xm:f>
            <x14:dxf>
              <fill>
                <patternFill>
                  <bgColor theme="9" tint="0.59996337778862885"/>
                </patternFill>
              </fill>
            </x14:dxf>
          </x14:cfRule>
          <x14:cfRule type="containsText" priority="7168" operator="containsText" id="{31FAED92-22D8-470A-963F-0BF09336B595}">
            <xm:f>NOT(ISERROR(SEARCH($Q$12,Q312)))</xm:f>
            <xm:f>$Q$12</xm:f>
            <x14:dxf>
              <fill>
                <patternFill>
                  <bgColor theme="9"/>
                </patternFill>
              </fill>
            </x14:dxf>
          </x14:cfRule>
          <x14:cfRule type="containsText" priority="7169" operator="containsText" id="{342A0A53-EC60-4814-9BA5-795B81B79222}">
            <xm:f>NOT(ISERROR(SEARCH($Q$12,Q312)))</xm:f>
            <xm:f>$Q$12</xm:f>
            <x14:dxf>
              <fill>
                <patternFill>
                  <bgColor rgb="FFFFFF00"/>
                </patternFill>
              </fill>
            </x14:dxf>
          </x14:cfRule>
          <x14:cfRule type="containsText" priority="7170" operator="containsText" id="{607B7A57-6C5A-41ED-B04C-53090CF4C9D3}">
            <xm:f>NOT(ISERROR(SEARCH($Q$12,Q312)))</xm:f>
            <xm:f>$Q$12</xm:f>
            <x14:dxf>
              <fill>
                <patternFill>
                  <bgColor rgb="FFFFC000"/>
                </patternFill>
              </fill>
            </x14:dxf>
          </x14:cfRule>
          <x14:cfRule type="containsText" priority="7171" operator="containsText" id="{37A7616F-EC71-4E7B-A69F-7DC00EBEC534}">
            <xm:f>NOT(ISERROR(SEARCH($Q$12,Q312)))</xm:f>
            <xm:f>$Q$12</xm:f>
            <x14:dxf>
              <fill>
                <patternFill>
                  <bgColor rgb="FFFF0000"/>
                </patternFill>
              </fill>
            </x14:dxf>
          </x14:cfRule>
          <x14:cfRule type="containsText" priority="7159" operator="containsText" id="{C9D3E7B3-5C9A-4098-A878-6EA8B5D45C6A}">
            <xm:f>NOT(ISERROR(SEARCH($Q$12,Q312)))</xm:f>
            <xm:f>$Q$12</xm:f>
            <x14:dxf>
              <fill>
                <patternFill>
                  <bgColor rgb="FFFFFF00"/>
                </patternFill>
              </fill>
            </x14:dxf>
          </x14:cfRule>
          <xm:sqref>Q312</xm:sqref>
        </x14:conditionalFormatting>
        <x14:conditionalFormatting xmlns:xm="http://schemas.microsoft.com/office/excel/2006/main">
          <x14:cfRule type="containsText" priority="82" operator="containsText" id="{A35E3877-8A49-43CB-81AB-F297FC0528BA}">
            <xm:f>NOT(ISERROR(SEARCH($Q$12,Q322)))</xm:f>
            <xm:f>$Q$12</xm:f>
            <x14:dxf>
              <fill>
                <patternFill>
                  <bgColor rgb="FFFF0000"/>
                </patternFill>
              </fill>
            </x14:dxf>
          </x14:cfRule>
          <x14:cfRule type="containsText" priority="77" operator="containsText" id="{9963D07E-8476-499E-A434-FFD20FEFCE78}">
            <xm:f>NOT(ISERROR(SEARCH($Q$12,Q322)))</xm:f>
            <xm:f>$Q$12</xm:f>
            <x14:dxf>
              <fill>
                <patternFill>
                  <bgColor theme="9" tint="0.39994506668294322"/>
                </patternFill>
              </fill>
            </x14:dxf>
          </x14:cfRule>
          <x14:cfRule type="containsText" priority="81" operator="containsText" id="{CD25B030-DB97-4F5A-A6C2-A29CE544A6BF}">
            <xm:f>NOT(ISERROR(SEARCH($Q$12,Q322)))</xm:f>
            <xm:f>$Q$12</xm:f>
            <x14:dxf>
              <fill>
                <patternFill>
                  <bgColor rgb="FFFFC000"/>
                </patternFill>
              </fill>
            </x14:dxf>
          </x14:cfRule>
          <x14:cfRule type="containsText" priority="80" operator="containsText" id="{1DB0CE7A-7FB7-4723-A171-7B6806F8BF3D}">
            <xm:f>NOT(ISERROR(SEARCH($Q$12,Q322)))</xm:f>
            <xm:f>$Q$12</xm:f>
            <x14:dxf>
              <fill>
                <patternFill>
                  <bgColor rgb="FFFFFF00"/>
                </patternFill>
              </fill>
            </x14:dxf>
          </x14:cfRule>
          <x14:cfRule type="containsText" priority="83" operator="containsText" id="{B1EDA52B-4066-4943-9857-35A6EF950D29}">
            <xm:f>NOT(ISERROR(SEARCH($Q$12,Q322)))</xm:f>
            <xm:f>$Q$12</xm:f>
            <x14:dxf>
              <fill>
                <patternFill>
                  <bgColor theme="9" tint="0.59996337778862885"/>
                </patternFill>
              </fill>
            </x14:dxf>
          </x14:cfRule>
          <x14:cfRule type="containsText" priority="79" operator="containsText" id="{3B11A0E6-ADC2-4258-8782-BA6F4127392A}">
            <xm:f>NOT(ISERROR(SEARCH($Q$12,Q322)))</xm:f>
            <xm:f>$Q$12</xm:f>
            <x14:dxf/>
          </x14:cfRule>
          <x14:cfRule type="containsText" priority="78" operator="containsText" id="{4F8A67CF-9108-4EC8-B7DE-D8F395DEC54A}">
            <xm:f>NOT(ISERROR(SEARCH($Q$12,Q322)))</xm:f>
            <xm:f>$Q$12</xm:f>
            <x14:dxf>
              <fill>
                <patternFill>
                  <bgColor rgb="FF00B050"/>
                </patternFill>
              </fill>
            </x14:dxf>
          </x14:cfRule>
          <x14:cfRule type="containsText" priority="76" operator="containsText" id="{7481A98D-053D-4EAF-AE59-C6DE599313F2}">
            <xm:f>NOT(ISERROR(SEARCH($Q$12,Q322)))</xm:f>
            <xm:f>$Q$12</xm:f>
            <x14:dxf>
              <fill>
                <patternFill>
                  <bgColor theme="9" tint="0.79998168889431442"/>
                </patternFill>
              </fill>
            </x14:dxf>
          </x14:cfRule>
          <x14:cfRule type="containsText" priority="75" operator="containsText" id="{F4A69D26-4D32-457E-A1DC-F34A26229283}">
            <xm:f>NOT(ISERROR(SEARCH($Q$12,Q322)))</xm:f>
            <xm:f>$Q$12</xm:f>
            <x14:dxf>
              <fill>
                <patternFill>
                  <bgColor rgb="FFFFFF00"/>
                </patternFill>
              </fill>
            </x14:dxf>
          </x14:cfRule>
          <x14:cfRule type="containsText" priority="87" operator="containsText" id="{83128917-B16A-4E52-AA27-96131D9E7555}">
            <xm:f>NOT(ISERROR(SEARCH($Q$12,Q322)))</xm:f>
            <xm:f>$Q$12</xm:f>
            <x14:dxf>
              <fill>
                <patternFill>
                  <bgColor rgb="FFFF0000"/>
                </patternFill>
              </fill>
            </x14:dxf>
          </x14:cfRule>
          <x14:cfRule type="containsText" priority="84" operator="containsText" id="{3EF6A7D2-B4B7-498D-BF24-2923433CFFDF}">
            <xm:f>NOT(ISERROR(SEARCH($Q$12,Q322)))</xm:f>
            <xm:f>$Q$12</xm:f>
            <x14:dxf>
              <fill>
                <patternFill>
                  <bgColor theme="9"/>
                </patternFill>
              </fill>
            </x14:dxf>
          </x14:cfRule>
          <x14:cfRule type="containsText" priority="85" operator="containsText" id="{C4F5643C-36C6-41AD-8E1A-5BB90F7A01A0}">
            <xm:f>NOT(ISERROR(SEARCH($Q$12,Q322)))</xm:f>
            <xm:f>$Q$12</xm:f>
            <x14:dxf>
              <fill>
                <patternFill>
                  <bgColor rgb="FFFFFF00"/>
                </patternFill>
              </fill>
            </x14:dxf>
          </x14:cfRule>
          <x14:cfRule type="containsText" priority="86" operator="containsText" id="{B2740A35-12D8-42B8-8BD8-C965C511A715}">
            <xm:f>NOT(ISERROR(SEARCH($Q$12,Q322)))</xm:f>
            <xm:f>$Q$12</xm:f>
            <x14:dxf>
              <fill>
                <patternFill>
                  <bgColor rgb="FFFFC000"/>
                </patternFill>
              </fill>
            </x14:dxf>
          </x14:cfRule>
          <xm:sqref>Q322</xm:sqref>
        </x14:conditionalFormatting>
        <x14:conditionalFormatting xmlns:xm="http://schemas.microsoft.com/office/excel/2006/main">
          <x14:cfRule type="containsText" priority="57" operator="containsText" id="{4936A1A1-0597-4477-8931-9019B7594AE1}">
            <xm:f>NOT(ISERROR(SEARCH($Q$12,Q332)))</xm:f>
            <xm:f>$Q$12</xm:f>
            <x14:dxf>
              <fill>
                <patternFill>
                  <bgColor rgb="FFFFFF00"/>
                </patternFill>
              </fill>
            </x14:dxf>
          </x14:cfRule>
          <x14:cfRule type="containsText" priority="53" operator="containsText" id="{32F298D8-7DC5-4B4A-926F-3AC53F52DFD6}">
            <xm:f>NOT(ISERROR(SEARCH($Q$12,Q332)))</xm:f>
            <xm:f>$Q$12</xm:f>
            <x14:dxf>
              <fill>
                <patternFill>
                  <bgColor theme="9" tint="0.79998168889431442"/>
                </patternFill>
              </fill>
            </x14:dxf>
          </x14:cfRule>
          <x14:cfRule type="containsText" priority="52" operator="containsText" id="{7B5CE89C-AB54-45DF-BF98-19CE95DEA025}">
            <xm:f>NOT(ISERROR(SEARCH($Q$12,Q332)))</xm:f>
            <xm:f>$Q$12</xm:f>
            <x14:dxf>
              <fill>
                <patternFill>
                  <bgColor rgb="FFFFFF00"/>
                </patternFill>
              </fill>
            </x14:dxf>
          </x14:cfRule>
          <x14:cfRule type="containsText" priority="60" operator="containsText" id="{382424CE-A300-47D1-A0A4-6D7479ADAACA}">
            <xm:f>NOT(ISERROR(SEARCH($Q$12,Q332)))</xm:f>
            <xm:f>$Q$12</xm:f>
            <x14:dxf>
              <fill>
                <patternFill>
                  <bgColor theme="9" tint="0.59996337778862885"/>
                </patternFill>
              </fill>
            </x14:dxf>
          </x14:cfRule>
          <x14:cfRule type="containsText" priority="61" operator="containsText" id="{546214CC-2ACE-4491-894A-72EFDE903916}">
            <xm:f>NOT(ISERROR(SEARCH($Q$12,Q332)))</xm:f>
            <xm:f>$Q$12</xm:f>
            <x14:dxf>
              <fill>
                <patternFill>
                  <bgColor theme="9"/>
                </patternFill>
              </fill>
            </x14:dxf>
          </x14:cfRule>
          <x14:cfRule type="containsText" priority="54" operator="containsText" id="{CFA9CB4A-71A7-4F08-80BA-C255445079C0}">
            <xm:f>NOT(ISERROR(SEARCH($Q$12,Q332)))</xm:f>
            <xm:f>$Q$12</xm:f>
            <x14:dxf>
              <fill>
                <patternFill>
                  <bgColor theme="9" tint="0.39994506668294322"/>
                </patternFill>
              </fill>
            </x14:dxf>
          </x14:cfRule>
          <x14:cfRule type="containsText" priority="62" operator="containsText" id="{7FCA29E3-EE4C-4A46-8633-6804C6EA13EB}">
            <xm:f>NOT(ISERROR(SEARCH($Q$12,Q332)))</xm:f>
            <xm:f>$Q$12</xm:f>
            <x14:dxf>
              <fill>
                <patternFill>
                  <bgColor rgb="FFFFFF00"/>
                </patternFill>
              </fill>
            </x14:dxf>
          </x14:cfRule>
          <x14:cfRule type="containsText" priority="63" operator="containsText" id="{97B1F798-CB38-4FE0-8E37-80396AACA996}">
            <xm:f>NOT(ISERROR(SEARCH($Q$12,Q332)))</xm:f>
            <xm:f>$Q$12</xm:f>
            <x14:dxf>
              <fill>
                <patternFill>
                  <bgColor rgb="FFFFC000"/>
                </patternFill>
              </fill>
            </x14:dxf>
          </x14:cfRule>
          <x14:cfRule type="containsText" priority="64" operator="containsText" id="{7592628B-8BF1-44B2-AB76-A1CD13601702}">
            <xm:f>NOT(ISERROR(SEARCH($Q$12,Q332)))</xm:f>
            <xm:f>$Q$12</xm:f>
            <x14:dxf>
              <fill>
                <patternFill>
                  <bgColor rgb="FFFF0000"/>
                </patternFill>
              </fill>
            </x14:dxf>
          </x14:cfRule>
          <x14:cfRule type="containsText" priority="59" operator="containsText" id="{81377DBF-B97B-4626-AEB8-A1A78A9F0D1A}">
            <xm:f>NOT(ISERROR(SEARCH($Q$12,Q332)))</xm:f>
            <xm:f>$Q$12</xm:f>
            <x14:dxf>
              <fill>
                <patternFill>
                  <bgColor rgb="FFFF0000"/>
                </patternFill>
              </fill>
            </x14:dxf>
          </x14:cfRule>
          <x14:cfRule type="containsText" priority="58" operator="containsText" id="{08A0AC1A-EA6B-4C12-B5FB-80DDE3041586}">
            <xm:f>NOT(ISERROR(SEARCH($Q$12,Q332)))</xm:f>
            <xm:f>$Q$12</xm:f>
            <x14:dxf>
              <fill>
                <patternFill>
                  <bgColor rgb="FFFFC000"/>
                </patternFill>
              </fill>
            </x14:dxf>
          </x14:cfRule>
          <x14:cfRule type="containsText" priority="56" operator="containsText" id="{B0ED703B-324D-46B1-ADEE-144A81AF01FF}">
            <xm:f>NOT(ISERROR(SEARCH($Q$12,Q332)))</xm:f>
            <xm:f>$Q$12</xm:f>
            <x14:dxf/>
          </x14:cfRule>
          <x14:cfRule type="containsText" priority="55" operator="containsText" id="{E561DD93-B21C-4062-88C9-6BBB368D3A67}">
            <xm:f>NOT(ISERROR(SEARCH($Q$12,Q332)))</xm:f>
            <xm:f>$Q$12</xm:f>
            <x14:dxf>
              <fill>
                <patternFill>
                  <bgColor rgb="FF00B050"/>
                </patternFill>
              </fill>
            </x14:dxf>
          </x14:cfRule>
          <xm:sqref>Q332</xm:sqref>
        </x14:conditionalFormatting>
        <x14:conditionalFormatting xmlns:xm="http://schemas.microsoft.com/office/excel/2006/main">
          <x14:cfRule type="containsText" priority="29" operator="containsText" id="{20A71FE1-9B7F-4A17-A39E-F64BE329CCF7}">
            <xm:f>NOT(ISERROR(SEARCH($Q$12,Q342)))</xm:f>
            <xm:f>$Q$12</xm:f>
            <x14:dxf>
              <fill>
                <patternFill>
                  <bgColor rgb="FFFFFF00"/>
                </patternFill>
              </fill>
            </x14:dxf>
          </x14:cfRule>
          <x14:cfRule type="containsText" priority="30" operator="containsText" id="{644BEFB7-A3CA-48BD-8DF0-60AB19FE0225}">
            <xm:f>NOT(ISERROR(SEARCH($Q$12,Q342)))</xm:f>
            <xm:f>$Q$12</xm:f>
            <x14:dxf>
              <fill>
                <patternFill>
                  <bgColor theme="9" tint="0.79998168889431442"/>
                </patternFill>
              </fill>
            </x14:dxf>
          </x14:cfRule>
          <x14:cfRule type="containsText" priority="31" operator="containsText" id="{D2ADF029-B780-49B5-ABCA-FB3E8DFC9BDC}">
            <xm:f>NOT(ISERROR(SEARCH($Q$12,Q342)))</xm:f>
            <xm:f>$Q$12</xm:f>
            <x14:dxf>
              <fill>
                <patternFill>
                  <bgColor theme="9" tint="0.39994506668294322"/>
                </patternFill>
              </fill>
            </x14:dxf>
          </x14:cfRule>
          <x14:cfRule type="containsText" priority="32" operator="containsText" id="{74C42F59-768E-4213-975C-54BDF94B8678}">
            <xm:f>NOT(ISERROR(SEARCH($Q$12,Q342)))</xm:f>
            <xm:f>$Q$12</xm:f>
            <x14:dxf>
              <fill>
                <patternFill>
                  <bgColor rgb="FF00B050"/>
                </patternFill>
              </fill>
            </x14:dxf>
          </x14:cfRule>
          <x14:cfRule type="containsText" priority="36" operator="containsText" id="{A3416E6D-40AF-41BB-93BF-11530CE4E5F1}">
            <xm:f>NOT(ISERROR(SEARCH($Q$12,Q342)))</xm:f>
            <xm:f>$Q$12</xm:f>
            <x14:dxf>
              <fill>
                <patternFill>
                  <bgColor rgb="FFFF0000"/>
                </patternFill>
              </fill>
            </x14:dxf>
          </x14:cfRule>
          <x14:cfRule type="containsText" priority="33" operator="containsText" id="{03385A1A-7FA8-4CF7-B058-FDF70A7FE459}">
            <xm:f>NOT(ISERROR(SEARCH($Q$12,Q342)))</xm:f>
            <xm:f>$Q$12</xm:f>
            <x14:dxf/>
          </x14:cfRule>
          <x14:cfRule type="containsText" priority="34" operator="containsText" id="{E44619A3-E4C7-4D32-93D1-95AC6F71A337}">
            <xm:f>NOT(ISERROR(SEARCH($Q$12,Q342)))</xm:f>
            <xm:f>$Q$12</xm:f>
            <x14:dxf>
              <fill>
                <patternFill>
                  <bgColor rgb="FFFFFF00"/>
                </patternFill>
              </fill>
            </x14:dxf>
          </x14:cfRule>
          <x14:cfRule type="containsText" priority="35" operator="containsText" id="{DCA078BA-4862-4A96-B402-62B997ECB895}">
            <xm:f>NOT(ISERROR(SEARCH($Q$12,Q342)))</xm:f>
            <xm:f>$Q$12</xm:f>
            <x14:dxf>
              <fill>
                <patternFill>
                  <bgColor rgb="FFFFC000"/>
                </patternFill>
              </fill>
            </x14:dxf>
          </x14:cfRule>
          <x14:cfRule type="containsText" priority="37" operator="containsText" id="{82D120B1-B62E-4A99-807E-5595D841A270}">
            <xm:f>NOT(ISERROR(SEARCH($Q$12,Q342)))</xm:f>
            <xm:f>$Q$12</xm:f>
            <x14:dxf>
              <fill>
                <patternFill>
                  <bgColor theme="9" tint="0.59996337778862885"/>
                </patternFill>
              </fill>
            </x14:dxf>
          </x14:cfRule>
          <x14:cfRule type="containsText" priority="41" operator="containsText" id="{9F200C06-A246-4607-8F60-BD8E684425DE}">
            <xm:f>NOT(ISERROR(SEARCH($Q$12,Q342)))</xm:f>
            <xm:f>$Q$12</xm:f>
            <x14:dxf>
              <fill>
                <patternFill>
                  <bgColor rgb="FFFF0000"/>
                </patternFill>
              </fill>
            </x14:dxf>
          </x14:cfRule>
          <x14:cfRule type="containsText" priority="40" operator="containsText" id="{408D5695-17B1-4F9C-B605-64FFC3DAEAE9}">
            <xm:f>NOT(ISERROR(SEARCH($Q$12,Q342)))</xm:f>
            <xm:f>$Q$12</xm:f>
            <x14:dxf>
              <fill>
                <patternFill>
                  <bgColor rgb="FFFFC000"/>
                </patternFill>
              </fill>
            </x14:dxf>
          </x14:cfRule>
          <x14:cfRule type="containsText" priority="39" operator="containsText" id="{009FEA8F-E558-42C2-A50F-E35F188B11D2}">
            <xm:f>NOT(ISERROR(SEARCH($Q$12,Q342)))</xm:f>
            <xm:f>$Q$12</xm:f>
            <x14:dxf>
              <fill>
                <patternFill>
                  <bgColor rgb="FFFFFF00"/>
                </patternFill>
              </fill>
            </x14:dxf>
          </x14:cfRule>
          <x14:cfRule type="containsText" priority="38" operator="containsText" id="{6309F3C3-4B7E-4FC5-A661-B78633B988C5}">
            <xm:f>NOT(ISERROR(SEARCH($Q$12,Q342)))</xm:f>
            <xm:f>$Q$12</xm:f>
            <x14:dxf>
              <fill>
                <patternFill>
                  <bgColor theme="9"/>
                </patternFill>
              </fill>
            </x14:dxf>
          </x14:cfRule>
          <xm:sqref>Q342</xm:sqref>
        </x14:conditionalFormatting>
        <x14:conditionalFormatting xmlns:xm="http://schemas.microsoft.com/office/excel/2006/main">
          <x14:cfRule type="containsText" priority="17" operator="containsText" id="{AEE3E712-0B57-4B5E-94FB-BD0B2EA4F4E9}">
            <xm:f>NOT(ISERROR(SEARCH($Q$12,Q352)))</xm:f>
            <xm:f>$Q$12</xm:f>
            <x14:dxf>
              <fill>
                <patternFill>
                  <bgColor rgb="FFFFC000"/>
                </patternFill>
              </fill>
            </x14:dxf>
          </x14:cfRule>
          <x14:cfRule type="containsText" priority="18" operator="containsText" id="{860DFB5B-7739-422A-9C53-C290F25984E9}">
            <xm:f>NOT(ISERROR(SEARCH($Q$12,Q352)))</xm:f>
            <xm:f>$Q$12</xm:f>
            <x14:dxf>
              <fill>
                <patternFill>
                  <bgColor rgb="FFFF0000"/>
                </patternFill>
              </fill>
            </x14:dxf>
          </x14:cfRule>
          <x14:cfRule type="containsText" priority="12" operator="containsText" id="{3D40471E-7CB6-42E6-B0DD-4BA96AA58264}">
            <xm:f>NOT(ISERROR(SEARCH($Q$12,Q352)))</xm:f>
            <xm:f>$Q$12</xm:f>
            <x14:dxf>
              <fill>
                <patternFill>
                  <bgColor rgb="FFFFC000"/>
                </patternFill>
              </fill>
            </x14:dxf>
          </x14:cfRule>
          <x14:cfRule type="containsText" priority="6" operator="containsText" id="{E380B66D-9DDF-47CE-B379-E3306595D079}">
            <xm:f>NOT(ISERROR(SEARCH($Q$12,Q352)))</xm:f>
            <xm:f>$Q$12</xm:f>
            <x14:dxf>
              <fill>
                <patternFill>
                  <bgColor rgb="FFFFFF00"/>
                </patternFill>
              </fill>
            </x14:dxf>
          </x14:cfRule>
          <x14:cfRule type="containsText" priority="7" operator="containsText" id="{D1DEEA8B-1F06-4A58-B020-D9127753EB74}">
            <xm:f>NOT(ISERROR(SEARCH($Q$12,Q352)))</xm:f>
            <xm:f>$Q$12</xm:f>
            <x14:dxf>
              <fill>
                <patternFill>
                  <bgColor theme="9" tint="0.79998168889431442"/>
                </patternFill>
              </fill>
            </x14:dxf>
          </x14:cfRule>
          <x14:cfRule type="containsText" priority="8" operator="containsText" id="{E9743195-5C67-48F4-9201-BC5A7BDE73A3}">
            <xm:f>NOT(ISERROR(SEARCH($Q$12,Q352)))</xm:f>
            <xm:f>$Q$12</xm:f>
            <x14:dxf>
              <fill>
                <patternFill>
                  <bgColor theme="9" tint="0.39994506668294322"/>
                </patternFill>
              </fill>
            </x14:dxf>
          </x14:cfRule>
          <x14:cfRule type="containsText" priority="9" operator="containsText" id="{37882026-9A7E-4C7D-AC94-483305E48FF3}">
            <xm:f>NOT(ISERROR(SEARCH($Q$12,Q352)))</xm:f>
            <xm:f>$Q$12</xm:f>
            <x14:dxf>
              <fill>
                <patternFill>
                  <bgColor rgb="FF00B050"/>
                </patternFill>
              </fill>
            </x14:dxf>
          </x14:cfRule>
          <x14:cfRule type="containsText" priority="10" operator="containsText" id="{1134E972-0D12-45CE-BB45-C3AC136C0E96}">
            <xm:f>NOT(ISERROR(SEARCH($Q$12,Q352)))</xm:f>
            <xm:f>$Q$12</xm:f>
            <x14:dxf/>
          </x14:cfRule>
          <x14:cfRule type="containsText" priority="11" operator="containsText" id="{3CF6076D-3016-47CB-9701-0714B002E12E}">
            <xm:f>NOT(ISERROR(SEARCH($Q$12,Q352)))</xm:f>
            <xm:f>$Q$12</xm:f>
            <x14:dxf>
              <fill>
                <patternFill>
                  <bgColor rgb="FFFFFF00"/>
                </patternFill>
              </fill>
            </x14:dxf>
          </x14:cfRule>
          <x14:cfRule type="containsText" priority="13" operator="containsText" id="{D1678C3E-4112-4941-93E4-7E9EA4A7F8F5}">
            <xm:f>NOT(ISERROR(SEARCH($Q$12,Q352)))</xm:f>
            <xm:f>$Q$12</xm:f>
            <x14:dxf>
              <fill>
                <patternFill>
                  <bgColor rgb="FFFF0000"/>
                </patternFill>
              </fill>
            </x14:dxf>
          </x14:cfRule>
          <x14:cfRule type="containsText" priority="14" operator="containsText" id="{2171E311-1E78-47A0-8B55-5069AD5F3A2E}">
            <xm:f>NOT(ISERROR(SEARCH($Q$12,Q352)))</xm:f>
            <xm:f>$Q$12</xm:f>
            <x14:dxf>
              <fill>
                <patternFill>
                  <bgColor theme="9" tint="0.59996337778862885"/>
                </patternFill>
              </fill>
            </x14:dxf>
          </x14:cfRule>
          <x14:cfRule type="containsText" priority="15" operator="containsText" id="{99CA52C2-304A-40B8-B3E9-19E1DF665117}">
            <xm:f>NOT(ISERROR(SEARCH($Q$12,Q352)))</xm:f>
            <xm:f>$Q$12</xm:f>
            <x14:dxf>
              <fill>
                <patternFill>
                  <bgColor theme="9"/>
                </patternFill>
              </fill>
            </x14:dxf>
          </x14:cfRule>
          <x14:cfRule type="containsText" priority="16" operator="containsText" id="{E7E11D9E-6945-401F-8C5D-DD9C25BA61B2}">
            <xm:f>NOT(ISERROR(SEARCH($Q$12,Q352)))</xm:f>
            <xm:f>$Q$12</xm:f>
            <x14:dxf>
              <fill>
                <patternFill>
                  <bgColor rgb="FFFFFF00"/>
                </patternFill>
              </fill>
            </x14:dxf>
          </x14:cfRule>
          <xm:sqref>Q352</xm:sqref>
        </x14:conditionalFormatting>
        <x14:conditionalFormatting xmlns:xm="http://schemas.microsoft.com/office/excel/2006/main">
          <x14:cfRule type="containsText" priority="6674" operator="containsText" id="{0ED66A45-D641-4F01-820A-2A386EEB4149}">
            <xm:f>NOT(ISERROR(SEARCH($Q$12,Q362)))</xm:f>
            <xm:f>$Q$12</xm:f>
            <x14:dxf>
              <fill>
                <patternFill>
                  <bgColor rgb="FFFFFF00"/>
                </patternFill>
              </fill>
            </x14:dxf>
          </x14:cfRule>
          <x14:cfRule type="containsText" priority="6664" operator="containsText" id="{FC91E354-D7FC-42B4-9ABA-9BD54D3644E3}">
            <xm:f>NOT(ISERROR(SEARCH($Q$12,Q362)))</xm:f>
            <xm:f>$Q$12</xm:f>
            <x14:dxf>
              <fill>
                <patternFill>
                  <bgColor rgb="FFFFFF00"/>
                </patternFill>
              </fill>
            </x14:dxf>
          </x14:cfRule>
          <x14:cfRule type="containsText" priority="6665" operator="containsText" id="{2DD971F6-E608-4141-8875-8E1FFBEDEFBB}">
            <xm:f>NOT(ISERROR(SEARCH($Q$12,Q362)))</xm:f>
            <xm:f>$Q$12</xm:f>
            <x14:dxf>
              <fill>
                <patternFill>
                  <bgColor theme="9" tint="0.79998168889431442"/>
                </patternFill>
              </fill>
            </x14:dxf>
          </x14:cfRule>
          <x14:cfRule type="containsText" priority="6666" operator="containsText" id="{083688BB-9C4F-44E1-9373-B9D3FB8A1E36}">
            <xm:f>NOT(ISERROR(SEARCH($Q$12,Q362)))</xm:f>
            <xm:f>$Q$12</xm:f>
            <x14:dxf>
              <fill>
                <patternFill>
                  <bgColor theme="9" tint="0.39994506668294322"/>
                </patternFill>
              </fill>
            </x14:dxf>
          </x14:cfRule>
          <x14:cfRule type="containsText" priority="6667" operator="containsText" id="{F3DF10F3-E2C9-4CDE-8D7C-942EB5DBF227}">
            <xm:f>NOT(ISERROR(SEARCH($Q$12,Q362)))</xm:f>
            <xm:f>$Q$12</xm:f>
            <x14:dxf>
              <fill>
                <patternFill>
                  <bgColor rgb="FF00B050"/>
                </patternFill>
              </fill>
            </x14:dxf>
          </x14:cfRule>
          <x14:cfRule type="containsText" priority="6668" operator="containsText" id="{94A63018-DE53-45A3-B117-630F776DE3E5}">
            <xm:f>NOT(ISERROR(SEARCH($Q$12,Q362)))</xm:f>
            <xm:f>$Q$12</xm:f>
            <x14:dxf/>
          </x14:cfRule>
          <x14:cfRule type="containsText" priority="6669" operator="containsText" id="{7681581A-0781-4BB9-B1FF-275B3C8FFD7D}">
            <xm:f>NOT(ISERROR(SEARCH($Q$12,Q362)))</xm:f>
            <xm:f>$Q$12</xm:f>
            <x14:dxf>
              <fill>
                <patternFill>
                  <bgColor rgb="FFFFFF00"/>
                </patternFill>
              </fill>
            </x14:dxf>
          </x14:cfRule>
          <x14:cfRule type="containsText" priority="6670" operator="containsText" id="{7A5E7C13-0DB7-4247-9EB6-7CF13DF1EA12}">
            <xm:f>NOT(ISERROR(SEARCH($Q$12,Q362)))</xm:f>
            <xm:f>$Q$12</xm:f>
            <x14:dxf>
              <fill>
                <patternFill>
                  <bgColor rgb="FFFFC000"/>
                </patternFill>
              </fill>
            </x14:dxf>
          </x14:cfRule>
          <x14:cfRule type="containsText" priority="6671" operator="containsText" id="{58032178-8230-4C2E-96E5-DE96C14579A5}">
            <xm:f>NOT(ISERROR(SEARCH($Q$12,Q362)))</xm:f>
            <xm:f>$Q$12</xm:f>
            <x14:dxf>
              <fill>
                <patternFill>
                  <bgColor rgb="FFFF0000"/>
                </patternFill>
              </fill>
            </x14:dxf>
          </x14:cfRule>
          <x14:cfRule type="containsText" priority="6672" operator="containsText" id="{7E631C38-452F-4AAF-B5E2-8EEA4E68A44D}">
            <xm:f>NOT(ISERROR(SEARCH($Q$12,Q362)))</xm:f>
            <xm:f>$Q$12</xm:f>
            <x14:dxf>
              <fill>
                <patternFill>
                  <bgColor theme="9" tint="0.59996337778862885"/>
                </patternFill>
              </fill>
            </x14:dxf>
          </x14:cfRule>
          <x14:cfRule type="containsText" priority="6673" operator="containsText" id="{3714A996-D957-4164-AA13-80E888189BC5}">
            <xm:f>NOT(ISERROR(SEARCH($Q$12,Q362)))</xm:f>
            <xm:f>$Q$12</xm:f>
            <x14:dxf>
              <fill>
                <patternFill>
                  <bgColor theme="9"/>
                </patternFill>
              </fill>
            </x14:dxf>
          </x14:cfRule>
          <x14:cfRule type="containsText" priority="6675" operator="containsText" id="{8B106D50-34E2-401C-9565-6D45C9ACCABE}">
            <xm:f>NOT(ISERROR(SEARCH($Q$12,Q362)))</xm:f>
            <xm:f>$Q$12</xm:f>
            <x14:dxf>
              <fill>
                <patternFill>
                  <bgColor rgb="FFFFC000"/>
                </patternFill>
              </fill>
            </x14:dxf>
          </x14:cfRule>
          <x14:cfRule type="containsText" priority="6676" operator="containsText" id="{BFBA050B-A1D5-4D7D-A91E-B2FCFDC24D53}">
            <xm:f>NOT(ISERROR(SEARCH($Q$12,Q362)))</xm:f>
            <xm:f>$Q$12</xm:f>
            <x14:dxf>
              <fill>
                <patternFill>
                  <bgColor rgb="FFFF0000"/>
                </patternFill>
              </fill>
            </x14:dxf>
          </x14:cfRule>
          <xm:sqref>Q362</xm:sqref>
        </x14:conditionalFormatting>
        <x14:conditionalFormatting xmlns:xm="http://schemas.microsoft.com/office/excel/2006/main">
          <x14:cfRule type="containsText" priority="6560" operator="containsText" id="{3AEF1F25-5046-4B8C-BA22-EF5168A94B24}">
            <xm:f>NOT(ISERROR(SEARCH($Q$12,Q372)))</xm:f>
            <xm:f>$Q$12</xm:f>
            <x14:dxf>
              <fill>
                <patternFill>
                  <bgColor rgb="FFFFC000"/>
                </patternFill>
              </fill>
            </x14:dxf>
          </x14:cfRule>
          <x14:cfRule type="containsText" priority="6559" operator="containsText" id="{8BA65EB9-4144-432A-BD1C-906A4F63A972}">
            <xm:f>NOT(ISERROR(SEARCH($Q$12,Q372)))</xm:f>
            <xm:f>$Q$12</xm:f>
            <x14:dxf>
              <fill>
                <patternFill>
                  <bgColor rgb="FFFFFF00"/>
                </patternFill>
              </fill>
            </x14:dxf>
          </x14:cfRule>
          <x14:cfRule type="containsText" priority="6552" operator="containsText" id="{0CB4D1ED-DB11-468D-BFF7-B5E0C4EE0B9E}">
            <xm:f>NOT(ISERROR(SEARCH($Q$12,Q372)))</xm:f>
            <xm:f>$Q$12</xm:f>
            <x14:dxf>
              <fill>
                <patternFill>
                  <bgColor rgb="FF00B050"/>
                </patternFill>
              </fill>
            </x14:dxf>
          </x14:cfRule>
          <x14:cfRule type="containsText" priority="6553" operator="containsText" id="{2BBDD3A3-DFE9-4232-8BEA-04C45D0FDEEF}">
            <xm:f>NOT(ISERROR(SEARCH($Q$12,Q372)))</xm:f>
            <xm:f>$Q$12</xm:f>
            <x14:dxf/>
          </x14:cfRule>
          <x14:cfRule type="containsText" priority="6551" operator="containsText" id="{BFC3B00F-0B2F-42D8-A19A-6E918DA0E967}">
            <xm:f>NOT(ISERROR(SEARCH($Q$12,Q372)))</xm:f>
            <xm:f>$Q$12</xm:f>
            <x14:dxf>
              <fill>
                <patternFill>
                  <bgColor theme="9" tint="0.39994506668294322"/>
                </patternFill>
              </fill>
            </x14:dxf>
          </x14:cfRule>
          <x14:cfRule type="containsText" priority="6558" operator="containsText" id="{467E6EB3-F86A-4F8D-A075-BD91D365ABC6}">
            <xm:f>NOT(ISERROR(SEARCH($Q$12,Q372)))</xm:f>
            <xm:f>$Q$12</xm:f>
            <x14:dxf>
              <fill>
                <patternFill>
                  <bgColor theme="9"/>
                </patternFill>
              </fill>
            </x14:dxf>
          </x14:cfRule>
          <x14:cfRule type="containsText" priority="6550" operator="containsText" id="{B8ED9316-6449-4563-B3D8-5461D9610C70}">
            <xm:f>NOT(ISERROR(SEARCH($Q$12,Q372)))</xm:f>
            <xm:f>$Q$12</xm:f>
            <x14:dxf>
              <fill>
                <patternFill>
                  <bgColor theme="9" tint="0.79998168889431442"/>
                </patternFill>
              </fill>
            </x14:dxf>
          </x14:cfRule>
          <x14:cfRule type="containsText" priority="6557" operator="containsText" id="{47A42A18-B811-4646-9EC8-CF2C1E698DC3}">
            <xm:f>NOT(ISERROR(SEARCH($Q$12,Q372)))</xm:f>
            <xm:f>$Q$12</xm:f>
            <x14:dxf>
              <fill>
                <patternFill>
                  <bgColor theme="9" tint="0.59996337778862885"/>
                </patternFill>
              </fill>
            </x14:dxf>
          </x14:cfRule>
          <x14:cfRule type="containsText" priority="6556" operator="containsText" id="{C01581EC-EB78-45F4-B463-25D65B0921D8}">
            <xm:f>NOT(ISERROR(SEARCH($Q$12,Q372)))</xm:f>
            <xm:f>$Q$12</xm:f>
            <x14:dxf>
              <fill>
                <patternFill>
                  <bgColor rgb="FFFF0000"/>
                </patternFill>
              </fill>
            </x14:dxf>
          </x14:cfRule>
          <x14:cfRule type="containsText" priority="6555" operator="containsText" id="{7E16DCD3-3685-47D7-BA6A-538BE8E07A24}">
            <xm:f>NOT(ISERROR(SEARCH($Q$12,Q372)))</xm:f>
            <xm:f>$Q$12</xm:f>
            <x14:dxf>
              <fill>
                <patternFill>
                  <bgColor rgb="FFFFC000"/>
                </patternFill>
              </fill>
            </x14:dxf>
          </x14:cfRule>
          <x14:cfRule type="containsText" priority="6554" operator="containsText" id="{2770CF43-C4EB-4B15-B5A6-9760549AF9E2}">
            <xm:f>NOT(ISERROR(SEARCH($Q$12,Q372)))</xm:f>
            <xm:f>$Q$12</xm:f>
            <x14:dxf>
              <fill>
                <patternFill>
                  <bgColor rgb="FFFFFF00"/>
                </patternFill>
              </fill>
            </x14:dxf>
          </x14:cfRule>
          <x14:cfRule type="containsText" priority="6561" operator="containsText" id="{B3C293FB-785C-4627-BFEA-E62B25C2C656}">
            <xm:f>NOT(ISERROR(SEARCH($Q$12,Q372)))</xm:f>
            <xm:f>$Q$12</xm:f>
            <x14:dxf>
              <fill>
                <patternFill>
                  <bgColor rgb="FFFF0000"/>
                </patternFill>
              </fill>
            </x14:dxf>
          </x14:cfRule>
          <x14:cfRule type="containsText" priority="6549" operator="containsText" id="{38144D77-7795-41C3-9488-BC7C56C59F71}">
            <xm:f>NOT(ISERROR(SEARCH($Q$12,Q372)))</xm:f>
            <xm:f>$Q$12</xm:f>
            <x14:dxf>
              <fill>
                <patternFill>
                  <bgColor rgb="FFFFFF00"/>
                </patternFill>
              </fill>
            </x14:dxf>
          </x14:cfRule>
          <xm:sqref>Q372</xm:sqref>
        </x14:conditionalFormatting>
        <x14:conditionalFormatting xmlns:xm="http://schemas.microsoft.com/office/excel/2006/main">
          <x14:cfRule type="containsText" priority="6507" operator="containsText" id="{8D9F5875-5844-4D7F-AAC1-030F2B5BDE8A}">
            <xm:f>NOT(ISERROR(SEARCH($Q$12,Q382)))</xm:f>
            <xm:f>$Q$12</xm:f>
            <x14:dxf>
              <fill>
                <patternFill>
                  <bgColor rgb="FFFFC000"/>
                </patternFill>
              </fill>
            </x14:dxf>
          </x14:cfRule>
          <x14:cfRule type="containsText" priority="6506" operator="containsText" id="{0DEAC3ED-E87E-4F10-AECC-F911546F0431}">
            <xm:f>NOT(ISERROR(SEARCH($Q$12,Q382)))</xm:f>
            <xm:f>$Q$12</xm:f>
            <x14:dxf>
              <fill>
                <patternFill>
                  <bgColor rgb="FFFFFF00"/>
                </patternFill>
              </fill>
            </x14:dxf>
          </x14:cfRule>
          <x14:cfRule type="containsText" priority="6505" operator="containsText" id="{616946B2-0927-4E68-BF48-A7E6FB19EE9C}">
            <xm:f>NOT(ISERROR(SEARCH($Q$12,Q382)))</xm:f>
            <xm:f>$Q$12</xm:f>
            <x14:dxf/>
          </x14:cfRule>
          <x14:cfRule type="containsText" priority="6503" operator="containsText" id="{918752D9-C4D2-48DD-A4DE-114A1437DF71}">
            <xm:f>NOT(ISERROR(SEARCH($Q$12,Q382)))</xm:f>
            <xm:f>$Q$12</xm:f>
            <x14:dxf>
              <fill>
                <patternFill>
                  <bgColor theme="9" tint="0.39994506668294322"/>
                </patternFill>
              </fill>
            </x14:dxf>
          </x14:cfRule>
          <x14:cfRule type="containsText" priority="6510" operator="containsText" id="{109B9128-30AE-4D23-B7B4-7F44F0C6C22E}">
            <xm:f>NOT(ISERROR(SEARCH($Q$12,Q382)))</xm:f>
            <xm:f>$Q$12</xm:f>
            <x14:dxf>
              <fill>
                <patternFill>
                  <bgColor theme="9"/>
                </patternFill>
              </fill>
            </x14:dxf>
          </x14:cfRule>
          <x14:cfRule type="containsText" priority="6502" operator="containsText" id="{49A2666F-0AEA-4F1B-8A8F-193371630FB3}">
            <xm:f>NOT(ISERROR(SEARCH($Q$12,Q382)))</xm:f>
            <xm:f>$Q$12</xm:f>
            <x14:dxf>
              <fill>
                <patternFill>
                  <bgColor theme="9" tint="0.79998168889431442"/>
                </patternFill>
              </fill>
            </x14:dxf>
          </x14:cfRule>
          <x14:cfRule type="containsText" priority="6513" operator="containsText" id="{2EA2A229-A55E-4FBF-9323-58F45558BE60}">
            <xm:f>NOT(ISERROR(SEARCH($Q$12,Q382)))</xm:f>
            <xm:f>$Q$12</xm:f>
            <x14:dxf>
              <fill>
                <patternFill>
                  <bgColor rgb="FFFF0000"/>
                </patternFill>
              </fill>
            </x14:dxf>
          </x14:cfRule>
          <x14:cfRule type="containsText" priority="6512" operator="containsText" id="{4194D09C-4493-4036-90A8-904966876C5C}">
            <xm:f>NOT(ISERROR(SEARCH($Q$12,Q382)))</xm:f>
            <xm:f>$Q$12</xm:f>
            <x14:dxf>
              <fill>
                <patternFill>
                  <bgColor rgb="FFFFC000"/>
                </patternFill>
              </fill>
            </x14:dxf>
          </x14:cfRule>
          <x14:cfRule type="containsText" priority="6511" operator="containsText" id="{B3721ED1-25AE-4ADC-B4CA-07D2D09481D6}">
            <xm:f>NOT(ISERROR(SEARCH($Q$12,Q382)))</xm:f>
            <xm:f>$Q$12</xm:f>
            <x14:dxf>
              <fill>
                <patternFill>
                  <bgColor rgb="FFFFFF00"/>
                </patternFill>
              </fill>
            </x14:dxf>
          </x14:cfRule>
          <x14:cfRule type="containsText" priority="6504" operator="containsText" id="{AD3407AD-E612-41F4-BBB1-DD93FFE2C973}">
            <xm:f>NOT(ISERROR(SEARCH($Q$12,Q382)))</xm:f>
            <xm:f>$Q$12</xm:f>
            <x14:dxf>
              <fill>
                <patternFill>
                  <bgColor rgb="FF00B050"/>
                </patternFill>
              </fill>
            </x14:dxf>
          </x14:cfRule>
          <x14:cfRule type="containsText" priority="6509" operator="containsText" id="{DF1A9777-4E92-4D36-8EB8-BB4F5ACCB6B8}">
            <xm:f>NOT(ISERROR(SEARCH($Q$12,Q382)))</xm:f>
            <xm:f>$Q$12</xm:f>
            <x14:dxf>
              <fill>
                <patternFill>
                  <bgColor theme="9" tint="0.59996337778862885"/>
                </patternFill>
              </fill>
            </x14:dxf>
          </x14:cfRule>
          <x14:cfRule type="containsText" priority="6508" operator="containsText" id="{C44385B9-1382-414C-8AE9-04C74EB30686}">
            <xm:f>NOT(ISERROR(SEARCH($Q$12,Q382)))</xm:f>
            <xm:f>$Q$12</xm:f>
            <x14:dxf>
              <fill>
                <patternFill>
                  <bgColor rgb="FFFF0000"/>
                </patternFill>
              </fill>
            </x14:dxf>
          </x14:cfRule>
          <x14:cfRule type="containsText" priority="6501" operator="containsText" id="{90EEF5F3-C2D2-45D4-96B7-891D57D18940}">
            <xm:f>NOT(ISERROR(SEARCH($Q$12,Q382)))</xm:f>
            <xm:f>$Q$12</xm:f>
            <x14:dxf>
              <fill>
                <patternFill>
                  <bgColor rgb="FFFFFF00"/>
                </patternFill>
              </fill>
            </x14:dxf>
          </x14:cfRule>
          <xm:sqref>Q382</xm:sqref>
        </x14:conditionalFormatting>
        <x14:conditionalFormatting xmlns:xm="http://schemas.microsoft.com/office/excel/2006/main">
          <x14:cfRule type="containsText" priority="6459" operator="containsText" id="{7F331DAF-CC6B-487F-9874-40CE3B8FE5BB}">
            <xm:f>NOT(ISERROR(SEARCH($Q$12,Q392)))</xm:f>
            <xm:f>$Q$12</xm:f>
            <x14:dxf>
              <fill>
                <patternFill>
                  <bgColor rgb="FFFFC000"/>
                </patternFill>
              </fill>
            </x14:dxf>
          </x14:cfRule>
          <x14:cfRule type="containsText" priority="6460" operator="containsText" id="{44811FB3-47C7-42A8-837F-980829738B13}">
            <xm:f>NOT(ISERROR(SEARCH($Q$12,Q392)))</xm:f>
            <xm:f>$Q$12</xm:f>
            <x14:dxf>
              <fill>
                <patternFill>
                  <bgColor rgb="FFFF0000"/>
                </patternFill>
              </fill>
            </x14:dxf>
          </x14:cfRule>
          <x14:cfRule type="containsText" priority="6461" operator="containsText" id="{41BD550E-226A-4B7E-888B-2BDBE9DE7EBC}">
            <xm:f>NOT(ISERROR(SEARCH($Q$12,Q392)))</xm:f>
            <xm:f>$Q$12</xm:f>
            <x14:dxf>
              <fill>
                <patternFill>
                  <bgColor theme="9" tint="0.59996337778862885"/>
                </patternFill>
              </fill>
            </x14:dxf>
          </x14:cfRule>
          <x14:cfRule type="containsText" priority="6463" operator="containsText" id="{313F9C9F-805C-4564-BF31-9C55E552E250}">
            <xm:f>NOT(ISERROR(SEARCH($Q$12,Q392)))</xm:f>
            <xm:f>$Q$12</xm:f>
            <x14:dxf>
              <fill>
                <patternFill>
                  <bgColor rgb="FFFFFF00"/>
                </patternFill>
              </fill>
            </x14:dxf>
          </x14:cfRule>
          <x14:cfRule type="containsText" priority="6464" operator="containsText" id="{338617C0-CB8B-4EEF-BD4E-EEFFD76638C1}">
            <xm:f>NOT(ISERROR(SEARCH($Q$12,Q392)))</xm:f>
            <xm:f>$Q$12</xm:f>
            <x14:dxf>
              <fill>
                <patternFill>
                  <bgColor rgb="FFFFC000"/>
                </patternFill>
              </fill>
            </x14:dxf>
          </x14:cfRule>
          <x14:cfRule type="containsText" priority="6465" operator="containsText" id="{48DBA270-B5C5-4D88-BC98-EAFE2D303CE7}">
            <xm:f>NOT(ISERROR(SEARCH($Q$12,Q392)))</xm:f>
            <xm:f>$Q$12</xm:f>
            <x14:dxf>
              <fill>
                <patternFill>
                  <bgColor rgb="FFFF0000"/>
                </patternFill>
              </fill>
            </x14:dxf>
          </x14:cfRule>
          <x14:cfRule type="containsText" priority="6462" operator="containsText" id="{AB6ED125-6F92-4C39-BD4B-B1E0629E3BAE}">
            <xm:f>NOT(ISERROR(SEARCH($Q$12,Q392)))</xm:f>
            <xm:f>$Q$12</xm:f>
            <x14:dxf>
              <fill>
                <patternFill>
                  <bgColor theme="9"/>
                </patternFill>
              </fill>
            </x14:dxf>
          </x14:cfRule>
          <x14:cfRule type="containsText" priority="6453" operator="containsText" id="{08F1F234-D0A6-4D6A-80FB-374155B95B8D}">
            <xm:f>NOT(ISERROR(SEARCH($Q$12,Q392)))</xm:f>
            <xm:f>$Q$12</xm:f>
            <x14:dxf>
              <fill>
                <patternFill>
                  <bgColor rgb="FFFFFF00"/>
                </patternFill>
              </fill>
            </x14:dxf>
          </x14:cfRule>
          <x14:cfRule type="containsText" priority="6454" operator="containsText" id="{5F8A07B8-ED83-4E66-A82B-69076912DA2A}">
            <xm:f>NOT(ISERROR(SEARCH($Q$12,Q392)))</xm:f>
            <xm:f>$Q$12</xm:f>
            <x14:dxf>
              <fill>
                <patternFill>
                  <bgColor theme="9" tint="0.79998168889431442"/>
                </patternFill>
              </fill>
            </x14:dxf>
          </x14:cfRule>
          <x14:cfRule type="containsText" priority="6455" operator="containsText" id="{9438D05C-854B-4A42-80F9-72A25B908A26}">
            <xm:f>NOT(ISERROR(SEARCH($Q$12,Q392)))</xm:f>
            <xm:f>$Q$12</xm:f>
            <x14:dxf>
              <fill>
                <patternFill>
                  <bgColor theme="9" tint="0.39994506668294322"/>
                </patternFill>
              </fill>
            </x14:dxf>
          </x14:cfRule>
          <x14:cfRule type="containsText" priority="6456" operator="containsText" id="{E7C758F6-8B4A-49A0-9E49-726342110AC3}">
            <xm:f>NOT(ISERROR(SEARCH($Q$12,Q392)))</xm:f>
            <xm:f>$Q$12</xm:f>
            <x14:dxf>
              <fill>
                <patternFill>
                  <bgColor rgb="FF00B050"/>
                </patternFill>
              </fill>
            </x14:dxf>
          </x14:cfRule>
          <x14:cfRule type="containsText" priority="6457" operator="containsText" id="{8E203609-7B76-4195-ABE0-862F6A6109B2}">
            <xm:f>NOT(ISERROR(SEARCH($Q$12,Q392)))</xm:f>
            <xm:f>$Q$12</xm:f>
            <x14:dxf/>
          </x14:cfRule>
          <x14:cfRule type="containsText" priority="6458" operator="containsText" id="{47A1C108-C1AE-48BD-805A-CE432ECF8736}">
            <xm:f>NOT(ISERROR(SEARCH($Q$12,Q392)))</xm:f>
            <xm:f>$Q$12</xm:f>
            <x14:dxf>
              <fill>
                <patternFill>
                  <bgColor rgb="FFFFFF00"/>
                </patternFill>
              </fill>
            </x14:dxf>
          </x14:cfRule>
          <xm:sqref>Q392</xm:sqref>
        </x14:conditionalFormatting>
        <x14:conditionalFormatting xmlns:xm="http://schemas.microsoft.com/office/excel/2006/main">
          <x14:cfRule type="containsText" priority="6273" operator="containsText" id="{3112FA11-DB27-4575-8A6D-655EE9D94E74}">
            <xm:f>NOT(ISERROR(SEARCH($Q$12,Q402)))</xm:f>
            <xm:f>$Q$12</xm:f>
            <x14:dxf>
              <fill>
                <patternFill>
                  <bgColor rgb="FFFF0000"/>
                </patternFill>
              </fill>
            </x14:dxf>
          </x14:cfRule>
          <x14:cfRule type="containsText" priority="6272" operator="containsText" id="{725AA44A-D5FD-451D-8786-8722FBFE8EAF}">
            <xm:f>NOT(ISERROR(SEARCH($Q$12,Q402)))</xm:f>
            <xm:f>$Q$12</xm:f>
            <x14:dxf>
              <fill>
                <patternFill>
                  <bgColor rgb="FFFFC000"/>
                </patternFill>
              </fill>
            </x14:dxf>
          </x14:cfRule>
          <x14:cfRule type="containsText" priority="6274" operator="containsText" id="{CE26674D-D06C-4084-A1B7-56F53D2BC63C}">
            <xm:f>NOT(ISERROR(SEARCH($Q$12,Q402)))</xm:f>
            <xm:f>$Q$12</xm:f>
            <x14:dxf>
              <fill>
                <patternFill>
                  <bgColor theme="9" tint="0.59996337778862885"/>
                </patternFill>
              </fill>
            </x14:dxf>
          </x14:cfRule>
          <x14:cfRule type="containsText" priority="6270" operator="containsText" id="{328B306E-020B-4686-863A-E4A4F994DCE4}">
            <xm:f>NOT(ISERROR(SEARCH($Q$12,Q402)))</xm:f>
            <xm:f>$Q$12</xm:f>
            <x14:dxf/>
          </x14:cfRule>
          <x14:cfRule type="containsText" priority="6269" operator="containsText" id="{26C84F8D-B957-4E14-8066-F76B360A9E75}">
            <xm:f>NOT(ISERROR(SEARCH($Q$12,Q402)))</xm:f>
            <xm:f>$Q$12</xm:f>
            <x14:dxf>
              <fill>
                <patternFill>
                  <bgColor rgb="FF00B050"/>
                </patternFill>
              </fill>
            </x14:dxf>
          </x14:cfRule>
          <x14:cfRule type="containsText" priority="6268" operator="containsText" id="{5D5820E8-05B8-4F01-A01B-80147C8C9510}">
            <xm:f>NOT(ISERROR(SEARCH($Q$12,Q402)))</xm:f>
            <xm:f>$Q$12</xm:f>
            <x14:dxf>
              <fill>
                <patternFill>
                  <bgColor theme="9" tint="0.39994506668294322"/>
                </patternFill>
              </fill>
            </x14:dxf>
          </x14:cfRule>
          <x14:cfRule type="containsText" priority="6267" operator="containsText" id="{A38076B8-8041-4083-95C5-E2A35971971A}">
            <xm:f>NOT(ISERROR(SEARCH($Q$12,Q402)))</xm:f>
            <xm:f>$Q$12</xm:f>
            <x14:dxf>
              <fill>
                <patternFill>
                  <bgColor theme="9" tint="0.79998168889431442"/>
                </patternFill>
              </fill>
            </x14:dxf>
          </x14:cfRule>
          <x14:cfRule type="containsText" priority="6266" operator="containsText" id="{C34C46A2-5EE3-4E45-B6C7-B93C0F2A168F}">
            <xm:f>NOT(ISERROR(SEARCH($Q$12,Q402)))</xm:f>
            <xm:f>$Q$12</xm:f>
            <x14:dxf>
              <fill>
                <patternFill>
                  <bgColor rgb="FFFFFF00"/>
                </patternFill>
              </fill>
            </x14:dxf>
          </x14:cfRule>
          <x14:cfRule type="containsText" priority="6275" operator="containsText" id="{9BA0767A-4C92-4CF0-8FDA-71A85652EDAD}">
            <xm:f>NOT(ISERROR(SEARCH($Q$12,Q402)))</xm:f>
            <xm:f>$Q$12</xm:f>
            <x14:dxf>
              <fill>
                <patternFill>
                  <bgColor theme="9"/>
                </patternFill>
              </fill>
            </x14:dxf>
          </x14:cfRule>
          <x14:cfRule type="containsText" priority="6276" operator="containsText" id="{EDEF16CA-9DAD-48AC-8AEC-0584C6D35D22}">
            <xm:f>NOT(ISERROR(SEARCH($Q$12,Q402)))</xm:f>
            <xm:f>$Q$12</xm:f>
            <x14:dxf>
              <fill>
                <patternFill>
                  <bgColor rgb="FFFFFF00"/>
                </patternFill>
              </fill>
            </x14:dxf>
          </x14:cfRule>
          <x14:cfRule type="containsText" priority="6277" operator="containsText" id="{7F098320-2499-4B06-B486-84BBE777A55F}">
            <xm:f>NOT(ISERROR(SEARCH($Q$12,Q402)))</xm:f>
            <xm:f>$Q$12</xm:f>
            <x14:dxf>
              <fill>
                <patternFill>
                  <bgColor rgb="FFFFC000"/>
                </patternFill>
              </fill>
            </x14:dxf>
          </x14:cfRule>
          <x14:cfRule type="containsText" priority="6278" operator="containsText" id="{D1B1E4DA-BE40-48A9-A3C8-67AF59B0964D}">
            <xm:f>NOT(ISERROR(SEARCH($Q$12,Q402)))</xm:f>
            <xm:f>$Q$12</xm:f>
            <x14:dxf>
              <fill>
                <patternFill>
                  <bgColor rgb="FFFF0000"/>
                </patternFill>
              </fill>
            </x14:dxf>
          </x14:cfRule>
          <x14:cfRule type="containsText" priority="6271" operator="containsText" id="{913C0BBF-352C-4BD6-AED8-29E8FD8EE325}">
            <xm:f>NOT(ISERROR(SEARCH($Q$12,Q402)))</xm:f>
            <xm:f>$Q$12</xm:f>
            <x14:dxf>
              <fill>
                <patternFill>
                  <bgColor rgb="FFFFFF00"/>
                </patternFill>
              </fill>
            </x14:dxf>
          </x14:cfRule>
          <xm:sqref>Q402</xm:sqref>
        </x14:conditionalFormatting>
        <x14:conditionalFormatting xmlns:xm="http://schemas.microsoft.com/office/excel/2006/main">
          <x14:cfRule type="containsText" priority="6195" operator="containsText" id="{E6226FF4-CF4F-42E6-809E-C10CEB55A4C7}">
            <xm:f>NOT(ISERROR(SEARCH($Q$12,Q412)))</xm:f>
            <xm:f>$Q$12</xm:f>
            <x14:dxf>
              <fill>
                <patternFill>
                  <bgColor rgb="FFFF0000"/>
                </patternFill>
              </fill>
            </x14:dxf>
          </x14:cfRule>
          <x14:cfRule type="containsText" priority="6194" operator="containsText" id="{CC89CC64-1C14-4537-AB9A-6152857A5166}">
            <xm:f>NOT(ISERROR(SEARCH($Q$12,Q412)))</xm:f>
            <xm:f>$Q$12</xm:f>
            <x14:dxf>
              <fill>
                <patternFill>
                  <bgColor rgb="FFFFC000"/>
                </patternFill>
              </fill>
            </x14:dxf>
          </x14:cfRule>
          <x14:cfRule type="containsText" priority="6193" operator="containsText" id="{50637CA2-8301-4034-A034-F7363CA4F599}">
            <xm:f>NOT(ISERROR(SEARCH($Q$12,Q412)))</xm:f>
            <xm:f>$Q$12</xm:f>
            <x14:dxf>
              <fill>
                <patternFill>
                  <bgColor rgb="FFFFFF00"/>
                </patternFill>
              </fill>
            </x14:dxf>
          </x14:cfRule>
          <x14:cfRule type="containsText" priority="6192" operator="containsText" id="{E3AD8901-E700-4A7F-BD7F-133B254E0CF7}">
            <xm:f>NOT(ISERROR(SEARCH($Q$12,Q412)))</xm:f>
            <xm:f>$Q$12</xm:f>
            <x14:dxf>
              <fill>
                <patternFill>
                  <bgColor theme="9"/>
                </patternFill>
              </fill>
            </x14:dxf>
          </x14:cfRule>
          <x14:cfRule type="containsText" priority="6186" operator="containsText" id="{B7E6808F-DEFF-4701-96A4-01FC4CBB43A1}">
            <xm:f>NOT(ISERROR(SEARCH($Q$12,Q412)))</xm:f>
            <xm:f>$Q$12</xm:f>
            <x14:dxf>
              <fill>
                <patternFill>
                  <bgColor rgb="FF00B050"/>
                </patternFill>
              </fill>
            </x14:dxf>
          </x14:cfRule>
          <x14:cfRule type="containsText" priority="6185" operator="containsText" id="{222B44D1-A6DB-467E-B592-42369D9D33B6}">
            <xm:f>NOT(ISERROR(SEARCH($Q$12,Q412)))</xm:f>
            <xm:f>$Q$12</xm:f>
            <x14:dxf>
              <fill>
                <patternFill>
                  <bgColor theme="9" tint="0.39994506668294322"/>
                </patternFill>
              </fill>
            </x14:dxf>
          </x14:cfRule>
          <x14:cfRule type="containsText" priority="6190" operator="containsText" id="{8B339AA3-EF9B-4430-912D-533DF07D3FF0}">
            <xm:f>NOT(ISERROR(SEARCH($Q$12,Q412)))</xm:f>
            <xm:f>$Q$12</xm:f>
            <x14:dxf>
              <fill>
                <patternFill>
                  <bgColor rgb="FFFF0000"/>
                </patternFill>
              </fill>
            </x14:dxf>
          </x14:cfRule>
          <x14:cfRule type="containsText" priority="6189" operator="containsText" id="{24D76DA6-D1BA-4362-97AD-5A4C79ADBC0D}">
            <xm:f>NOT(ISERROR(SEARCH($Q$12,Q412)))</xm:f>
            <xm:f>$Q$12</xm:f>
            <x14:dxf>
              <fill>
                <patternFill>
                  <bgColor rgb="FFFFC000"/>
                </patternFill>
              </fill>
            </x14:dxf>
          </x14:cfRule>
          <x14:cfRule type="containsText" priority="6188" operator="containsText" id="{E76B1985-01F6-4512-8CEF-5043883E1C85}">
            <xm:f>NOT(ISERROR(SEARCH($Q$12,Q412)))</xm:f>
            <xm:f>$Q$12</xm:f>
            <x14:dxf>
              <fill>
                <patternFill>
                  <bgColor rgb="FFFFFF00"/>
                </patternFill>
              </fill>
            </x14:dxf>
          </x14:cfRule>
          <x14:cfRule type="containsText" priority="6187" operator="containsText" id="{56E62347-4795-4B30-82BA-E1E4CA066AA2}">
            <xm:f>NOT(ISERROR(SEARCH($Q$12,Q412)))</xm:f>
            <xm:f>$Q$12</xm:f>
            <x14:dxf/>
          </x14:cfRule>
          <x14:cfRule type="containsText" priority="6191" operator="containsText" id="{71291680-7750-4925-BFF0-378F40C7C357}">
            <xm:f>NOT(ISERROR(SEARCH($Q$12,Q412)))</xm:f>
            <xm:f>$Q$12</xm:f>
            <x14:dxf>
              <fill>
                <patternFill>
                  <bgColor theme="9" tint="0.59996337778862885"/>
                </patternFill>
              </fill>
            </x14:dxf>
          </x14:cfRule>
          <x14:cfRule type="containsText" priority="6184" operator="containsText" id="{F217191A-0012-4C08-924F-5B0B2B9C90F2}">
            <xm:f>NOT(ISERROR(SEARCH($Q$12,Q412)))</xm:f>
            <xm:f>$Q$12</xm:f>
            <x14:dxf>
              <fill>
                <patternFill>
                  <bgColor theme="9" tint="0.79998168889431442"/>
                </patternFill>
              </fill>
            </x14:dxf>
          </x14:cfRule>
          <x14:cfRule type="containsText" priority="6183" operator="containsText" id="{A4D35E26-87CD-4792-AC10-8AF707EC2DA5}">
            <xm:f>NOT(ISERROR(SEARCH($Q$12,Q412)))</xm:f>
            <xm:f>$Q$12</xm:f>
            <x14:dxf>
              <fill>
                <patternFill>
                  <bgColor rgb="FFFFFF00"/>
                </patternFill>
              </fill>
            </x14:dxf>
          </x14:cfRule>
          <xm:sqref>Q412</xm:sqref>
        </x14:conditionalFormatting>
        <x14:conditionalFormatting xmlns:xm="http://schemas.microsoft.com/office/excel/2006/main">
          <x14:cfRule type="containsText" priority="6048" operator="containsText" id="{4BAF4A5F-94BF-4841-9FF6-47F3B221B72F}">
            <xm:f>NOT(ISERROR(SEARCH($Q$12,Q422)))</xm:f>
            <xm:f>$Q$12</xm:f>
            <x14:dxf>
              <fill>
                <patternFill>
                  <bgColor rgb="FFFFFF00"/>
                </patternFill>
              </fill>
            </x14:dxf>
          </x14:cfRule>
          <x14:cfRule type="containsText" priority="6049" operator="containsText" id="{163556F1-1779-4E1F-B2F5-39EADD0E0943}">
            <xm:f>NOT(ISERROR(SEARCH($Q$12,Q422)))</xm:f>
            <xm:f>$Q$12</xm:f>
            <x14:dxf>
              <fill>
                <patternFill>
                  <bgColor theme="9" tint="0.79998168889431442"/>
                </patternFill>
              </fill>
            </x14:dxf>
          </x14:cfRule>
          <x14:cfRule type="containsText" priority="6050" operator="containsText" id="{AACC7E31-4D30-4D32-B695-E0AF72810C4C}">
            <xm:f>NOT(ISERROR(SEARCH($Q$12,Q422)))</xm:f>
            <xm:f>$Q$12</xm:f>
            <x14:dxf>
              <fill>
                <patternFill>
                  <bgColor theme="9" tint="0.39994506668294322"/>
                </patternFill>
              </fill>
            </x14:dxf>
          </x14:cfRule>
          <x14:cfRule type="containsText" priority="6051" operator="containsText" id="{44E81700-6605-400C-8719-36E32196B4A9}">
            <xm:f>NOT(ISERROR(SEARCH($Q$12,Q422)))</xm:f>
            <xm:f>$Q$12</xm:f>
            <x14:dxf>
              <fill>
                <patternFill>
                  <bgColor rgb="FF00B050"/>
                </patternFill>
              </fill>
            </x14:dxf>
          </x14:cfRule>
          <x14:cfRule type="containsText" priority="6052" operator="containsText" id="{08808B87-AE0B-468E-AC01-8FA612B17468}">
            <xm:f>NOT(ISERROR(SEARCH($Q$12,Q422)))</xm:f>
            <xm:f>$Q$12</xm:f>
            <x14:dxf/>
          </x14:cfRule>
          <x14:cfRule type="containsText" priority="6053" operator="containsText" id="{F6FC2B72-D21F-4D98-9A38-2DE3FFDFF0FB}">
            <xm:f>NOT(ISERROR(SEARCH($Q$12,Q422)))</xm:f>
            <xm:f>$Q$12</xm:f>
            <x14:dxf>
              <fill>
                <patternFill>
                  <bgColor rgb="FFFFFF00"/>
                </patternFill>
              </fill>
            </x14:dxf>
          </x14:cfRule>
          <x14:cfRule type="containsText" priority="6054" operator="containsText" id="{63A8FB7D-91E8-4199-84F1-546B4FE6BBDD}">
            <xm:f>NOT(ISERROR(SEARCH($Q$12,Q422)))</xm:f>
            <xm:f>$Q$12</xm:f>
            <x14:dxf>
              <fill>
                <patternFill>
                  <bgColor rgb="FFFFC000"/>
                </patternFill>
              </fill>
            </x14:dxf>
          </x14:cfRule>
          <x14:cfRule type="containsText" priority="6055" operator="containsText" id="{931642D2-93BA-4BF8-BA43-698051CD6232}">
            <xm:f>NOT(ISERROR(SEARCH($Q$12,Q422)))</xm:f>
            <xm:f>$Q$12</xm:f>
            <x14:dxf>
              <fill>
                <patternFill>
                  <bgColor rgb="FFFF0000"/>
                </patternFill>
              </fill>
            </x14:dxf>
          </x14:cfRule>
          <x14:cfRule type="containsText" priority="6056" operator="containsText" id="{234EDDE3-9526-4E7F-B87E-1ECACE977E88}">
            <xm:f>NOT(ISERROR(SEARCH($Q$12,Q422)))</xm:f>
            <xm:f>$Q$12</xm:f>
            <x14:dxf>
              <fill>
                <patternFill>
                  <bgColor theme="9" tint="0.59996337778862885"/>
                </patternFill>
              </fill>
            </x14:dxf>
          </x14:cfRule>
          <x14:cfRule type="containsText" priority="6057" operator="containsText" id="{1D8B7F23-24B2-4949-810D-C974B08CB7A1}">
            <xm:f>NOT(ISERROR(SEARCH($Q$12,Q422)))</xm:f>
            <xm:f>$Q$12</xm:f>
            <x14:dxf>
              <fill>
                <patternFill>
                  <bgColor theme="9"/>
                </patternFill>
              </fill>
            </x14:dxf>
          </x14:cfRule>
          <x14:cfRule type="containsText" priority="6058" operator="containsText" id="{32B1427E-39E0-45F6-8D11-C10063B36C45}">
            <xm:f>NOT(ISERROR(SEARCH($Q$12,Q422)))</xm:f>
            <xm:f>$Q$12</xm:f>
            <x14:dxf>
              <fill>
                <patternFill>
                  <bgColor rgb="FFFFFF00"/>
                </patternFill>
              </fill>
            </x14:dxf>
          </x14:cfRule>
          <x14:cfRule type="containsText" priority="6059" operator="containsText" id="{D240E914-A6BF-4072-BEF9-E2D0C897BECE}">
            <xm:f>NOT(ISERROR(SEARCH($Q$12,Q422)))</xm:f>
            <xm:f>$Q$12</xm:f>
            <x14:dxf>
              <fill>
                <patternFill>
                  <bgColor rgb="FFFFC000"/>
                </patternFill>
              </fill>
            </x14:dxf>
          </x14:cfRule>
          <x14:cfRule type="containsText" priority="6060" operator="containsText" id="{6E2531B2-F2FE-4A9F-9E84-CBD3986CDF4F}">
            <xm:f>NOT(ISERROR(SEARCH($Q$12,Q422)))</xm:f>
            <xm:f>$Q$12</xm:f>
            <x14:dxf>
              <fill>
                <patternFill>
                  <bgColor rgb="FFFF0000"/>
                </patternFill>
              </fill>
            </x14:dxf>
          </x14:cfRule>
          <xm:sqref>Q422</xm:sqref>
        </x14:conditionalFormatting>
        <x14:conditionalFormatting xmlns:xm="http://schemas.microsoft.com/office/excel/2006/main">
          <x14:cfRule type="containsText" priority="5973" operator="containsText" id="{2014B6BA-FE66-4CC9-A0E5-E97C02083AFA}">
            <xm:f>NOT(ISERROR(SEARCH($Q$12,Q432)))</xm:f>
            <xm:f>$Q$12</xm:f>
            <x14:dxf>
              <fill>
                <patternFill>
                  <bgColor theme="9" tint="0.59996337778862885"/>
                </patternFill>
              </fill>
            </x14:dxf>
          </x14:cfRule>
          <x14:cfRule type="containsText" priority="5977" operator="containsText" id="{1BEFEB79-E467-421A-BD28-0F52FE493EE8}">
            <xm:f>NOT(ISERROR(SEARCH($Q$12,Q432)))</xm:f>
            <xm:f>$Q$12</xm:f>
            <x14:dxf>
              <fill>
                <patternFill>
                  <bgColor rgb="FFFF0000"/>
                </patternFill>
              </fill>
            </x14:dxf>
          </x14:cfRule>
          <x14:cfRule type="containsText" priority="5976" operator="containsText" id="{8B48EBF6-C07C-425F-9383-57D80BCE948E}">
            <xm:f>NOT(ISERROR(SEARCH($Q$12,Q432)))</xm:f>
            <xm:f>$Q$12</xm:f>
            <x14:dxf>
              <fill>
                <patternFill>
                  <bgColor rgb="FFFFC000"/>
                </patternFill>
              </fill>
            </x14:dxf>
          </x14:cfRule>
          <x14:cfRule type="containsText" priority="5974" operator="containsText" id="{92ADFA40-0E16-4423-9E5F-78D194679608}">
            <xm:f>NOT(ISERROR(SEARCH($Q$12,Q432)))</xm:f>
            <xm:f>$Q$12</xm:f>
            <x14:dxf>
              <fill>
                <patternFill>
                  <bgColor theme="9"/>
                </patternFill>
              </fill>
            </x14:dxf>
          </x14:cfRule>
          <x14:cfRule type="containsText" priority="5972" operator="containsText" id="{B6430128-D7B7-4F0D-8BAE-F41EC1CF0494}">
            <xm:f>NOT(ISERROR(SEARCH($Q$12,Q432)))</xm:f>
            <xm:f>$Q$12</xm:f>
            <x14:dxf>
              <fill>
                <patternFill>
                  <bgColor rgb="FFFF0000"/>
                </patternFill>
              </fill>
            </x14:dxf>
          </x14:cfRule>
          <x14:cfRule type="containsText" priority="5971" operator="containsText" id="{9687BBDE-E36C-4A54-B11C-058A7344A507}">
            <xm:f>NOT(ISERROR(SEARCH($Q$12,Q432)))</xm:f>
            <xm:f>$Q$12</xm:f>
            <x14:dxf>
              <fill>
                <patternFill>
                  <bgColor rgb="FFFFC000"/>
                </patternFill>
              </fill>
            </x14:dxf>
          </x14:cfRule>
          <x14:cfRule type="containsText" priority="5970" operator="containsText" id="{FB09A80C-6189-44E7-ABC9-7DD879638DD1}">
            <xm:f>NOT(ISERROR(SEARCH($Q$12,Q432)))</xm:f>
            <xm:f>$Q$12</xm:f>
            <x14:dxf>
              <fill>
                <patternFill>
                  <bgColor rgb="FFFFFF00"/>
                </patternFill>
              </fill>
            </x14:dxf>
          </x14:cfRule>
          <x14:cfRule type="containsText" priority="5969" operator="containsText" id="{EF35C9F9-E602-469C-955D-ED3653EE77D7}">
            <xm:f>NOT(ISERROR(SEARCH($Q$12,Q432)))</xm:f>
            <xm:f>$Q$12</xm:f>
            <x14:dxf/>
          </x14:cfRule>
          <x14:cfRule type="containsText" priority="5968" operator="containsText" id="{289591CD-3CE5-4C9B-ACFE-FD8966AB779C}">
            <xm:f>NOT(ISERROR(SEARCH($Q$12,Q432)))</xm:f>
            <xm:f>$Q$12</xm:f>
            <x14:dxf>
              <fill>
                <patternFill>
                  <bgColor rgb="FF00B050"/>
                </patternFill>
              </fill>
            </x14:dxf>
          </x14:cfRule>
          <x14:cfRule type="containsText" priority="5967" operator="containsText" id="{DE8C4209-5CAC-43D9-9283-0BB012C39FA9}">
            <xm:f>NOT(ISERROR(SEARCH($Q$12,Q432)))</xm:f>
            <xm:f>$Q$12</xm:f>
            <x14:dxf>
              <fill>
                <patternFill>
                  <bgColor theme="9" tint="0.39994506668294322"/>
                </patternFill>
              </fill>
            </x14:dxf>
          </x14:cfRule>
          <x14:cfRule type="containsText" priority="5966" operator="containsText" id="{4C0B3665-8DD0-4EFF-9AC1-B5A94C1861C4}">
            <xm:f>NOT(ISERROR(SEARCH($Q$12,Q432)))</xm:f>
            <xm:f>$Q$12</xm:f>
            <x14:dxf>
              <fill>
                <patternFill>
                  <bgColor theme="9" tint="0.79998168889431442"/>
                </patternFill>
              </fill>
            </x14:dxf>
          </x14:cfRule>
          <x14:cfRule type="containsText" priority="5965" operator="containsText" id="{9486A3C3-A81B-45E7-B192-5BA030A09F7E}">
            <xm:f>NOT(ISERROR(SEARCH($Q$12,Q432)))</xm:f>
            <xm:f>$Q$12</xm:f>
            <x14:dxf>
              <fill>
                <patternFill>
                  <bgColor rgb="FFFFFF00"/>
                </patternFill>
              </fill>
            </x14:dxf>
          </x14:cfRule>
          <x14:cfRule type="containsText" priority="5975" operator="containsText" id="{ED4C10A3-EF7B-44C6-B4C2-26CBA0382C1C}">
            <xm:f>NOT(ISERROR(SEARCH($Q$12,Q432)))</xm:f>
            <xm:f>$Q$12</xm:f>
            <x14:dxf>
              <fill>
                <patternFill>
                  <bgColor rgb="FFFFFF00"/>
                </patternFill>
              </fill>
            </x14:dxf>
          </x14:cfRule>
          <xm:sqref>Q432</xm:sqref>
        </x14:conditionalFormatting>
        <x14:conditionalFormatting xmlns:xm="http://schemas.microsoft.com/office/excel/2006/main">
          <x14:cfRule type="containsText" priority="5738" operator="containsText" id="{BE250F83-697C-4940-AB48-4D65D70C08B9}">
            <xm:f>NOT(ISERROR(SEARCH($Q$12,Q442)))</xm:f>
            <xm:f>$Q$12</xm:f>
            <x14:dxf>
              <fill>
                <patternFill>
                  <bgColor rgb="FFFF0000"/>
                </patternFill>
              </fill>
            </x14:dxf>
          </x14:cfRule>
          <x14:cfRule type="containsText" priority="5743" operator="containsText" id="{E7085866-499D-4565-9AE4-CC8E141EB213}">
            <xm:f>NOT(ISERROR(SEARCH($Q$12,Q442)))</xm:f>
            <xm:f>$Q$12</xm:f>
            <x14:dxf>
              <fill>
                <patternFill>
                  <bgColor rgb="FFFF0000"/>
                </patternFill>
              </fill>
            </x14:dxf>
          </x14:cfRule>
          <x14:cfRule type="containsText" priority="5742" operator="containsText" id="{3E2D678D-A109-4527-A0BA-E574DAF02D96}">
            <xm:f>NOT(ISERROR(SEARCH($Q$12,Q442)))</xm:f>
            <xm:f>$Q$12</xm:f>
            <x14:dxf>
              <fill>
                <patternFill>
                  <bgColor rgb="FFFFC000"/>
                </patternFill>
              </fill>
            </x14:dxf>
          </x14:cfRule>
          <x14:cfRule type="containsText" priority="5741" operator="containsText" id="{6AB0663C-5F8A-4AEB-B843-17441BED9A2E}">
            <xm:f>NOT(ISERROR(SEARCH($Q$12,Q442)))</xm:f>
            <xm:f>$Q$12</xm:f>
            <x14:dxf>
              <fill>
                <patternFill>
                  <bgColor rgb="FFFFFF00"/>
                </patternFill>
              </fill>
            </x14:dxf>
          </x14:cfRule>
          <x14:cfRule type="containsText" priority="5740" operator="containsText" id="{B44C9830-664D-44D5-BB7B-547C259436B5}">
            <xm:f>NOT(ISERROR(SEARCH($Q$12,Q442)))</xm:f>
            <xm:f>$Q$12</xm:f>
            <x14:dxf>
              <fill>
                <patternFill>
                  <bgColor theme="9"/>
                </patternFill>
              </fill>
            </x14:dxf>
          </x14:cfRule>
          <x14:cfRule type="containsText" priority="5739" operator="containsText" id="{060D2DFD-5D6F-4A36-AC75-CEBF6F378FBF}">
            <xm:f>NOT(ISERROR(SEARCH($Q$12,Q442)))</xm:f>
            <xm:f>$Q$12</xm:f>
            <x14:dxf>
              <fill>
                <patternFill>
                  <bgColor theme="9" tint="0.59996337778862885"/>
                </patternFill>
              </fill>
            </x14:dxf>
          </x14:cfRule>
          <x14:cfRule type="containsText" priority="5736" operator="containsText" id="{0F15C4FA-3AA7-497D-A7CF-605397A56A4E}">
            <xm:f>NOT(ISERROR(SEARCH($Q$12,Q442)))</xm:f>
            <xm:f>$Q$12</xm:f>
            <x14:dxf>
              <fill>
                <patternFill>
                  <bgColor rgb="FFFFFF00"/>
                </patternFill>
              </fill>
            </x14:dxf>
          </x14:cfRule>
          <x14:cfRule type="containsText" priority="5735" operator="containsText" id="{601F688C-8034-4D53-892C-BF20E50349EB}">
            <xm:f>NOT(ISERROR(SEARCH($Q$12,Q442)))</xm:f>
            <xm:f>$Q$12</xm:f>
            <x14:dxf/>
          </x14:cfRule>
          <x14:cfRule type="containsText" priority="5734" operator="containsText" id="{7E114433-59A4-4E7E-B45E-E8AE08C8685A}">
            <xm:f>NOT(ISERROR(SEARCH($Q$12,Q442)))</xm:f>
            <xm:f>$Q$12</xm:f>
            <x14:dxf>
              <fill>
                <patternFill>
                  <bgColor rgb="FF00B050"/>
                </patternFill>
              </fill>
            </x14:dxf>
          </x14:cfRule>
          <x14:cfRule type="containsText" priority="5733" operator="containsText" id="{45857BE1-D126-4FED-B955-BF5B934BE2BC}">
            <xm:f>NOT(ISERROR(SEARCH($Q$12,Q442)))</xm:f>
            <xm:f>$Q$12</xm:f>
            <x14:dxf>
              <fill>
                <patternFill>
                  <bgColor theme="9" tint="0.39994506668294322"/>
                </patternFill>
              </fill>
            </x14:dxf>
          </x14:cfRule>
          <x14:cfRule type="containsText" priority="5737" operator="containsText" id="{DC325576-B6B9-4E67-BDF3-7B7051410C90}">
            <xm:f>NOT(ISERROR(SEARCH($Q$12,Q442)))</xm:f>
            <xm:f>$Q$12</xm:f>
            <x14:dxf>
              <fill>
                <patternFill>
                  <bgColor rgb="FFFFC000"/>
                </patternFill>
              </fill>
            </x14:dxf>
          </x14:cfRule>
          <x14:cfRule type="containsText" priority="5731" operator="containsText" id="{375EF610-FE8D-49E5-BAD3-8B2C2EF59557}">
            <xm:f>NOT(ISERROR(SEARCH($Q$12,Q442)))</xm:f>
            <xm:f>$Q$12</xm:f>
            <x14:dxf>
              <fill>
                <patternFill>
                  <bgColor rgb="FFFFFF00"/>
                </patternFill>
              </fill>
            </x14:dxf>
          </x14:cfRule>
          <x14:cfRule type="containsText" priority="5732" operator="containsText" id="{F2699B2F-89DA-4AB0-BB43-3F852D1E8E55}">
            <xm:f>NOT(ISERROR(SEARCH($Q$12,Q442)))</xm:f>
            <xm:f>$Q$12</xm:f>
            <x14:dxf>
              <fill>
                <patternFill>
                  <bgColor theme="9" tint="0.79998168889431442"/>
                </patternFill>
              </fill>
            </x14:dxf>
          </x14:cfRule>
          <xm:sqref>Q442</xm:sqref>
        </x14:conditionalFormatting>
        <x14:conditionalFormatting xmlns:xm="http://schemas.microsoft.com/office/excel/2006/main">
          <x14:cfRule type="containsText" priority="5695" operator="containsText" id="{819A5D96-6CAE-4FA4-A0D0-2DF8874B6190}">
            <xm:f>NOT(ISERROR(SEARCH($Q$12,Q452)))</xm:f>
            <xm:f>$Q$12</xm:f>
            <x14:dxf>
              <fill>
                <patternFill>
                  <bgColor rgb="FFFF0000"/>
                </patternFill>
              </fill>
            </x14:dxf>
          </x14:cfRule>
          <x14:cfRule type="containsText" priority="5694" operator="containsText" id="{661D8CFE-6DC7-4643-A3B0-23049A3A5E97}">
            <xm:f>NOT(ISERROR(SEARCH($Q$12,Q452)))</xm:f>
            <xm:f>$Q$12</xm:f>
            <x14:dxf>
              <fill>
                <patternFill>
                  <bgColor rgb="FFFFC000"/>
                </patternFill>
              </fill>
            </x14:dxf>
          </x14:cfRule>
          <x14:cfRule type="containsText" priority="5693" operator="containsText" id="{E60DB283-D206-48FB-AC71-B898D12D804B}">
            <xm:f>NOT(ISERROR(SEARCH($Q$12,Q452)))</xm:f>
            <xm:f>$Q$12</xm:f>
            <x14:dxf>
              <fill>
                <patternFill>
                  <bgColor rgb="FFFFFF00"/>
                </patternFill>
              </fill>
            </x14:dxf>
          </x14:cfRule>
          <x14:cfRule type="containsText" priority="5692" operator="containsText" id="{52C73F0D-72EE-46A4-A8D5-325C97F5A2B1}">
            <xm:f>NOT(ISERROR(SEARCH($Q$12,Q452)))</xm:f>
            <xm:f>$Q$12</xm:f>
            <x14:dxf>
              <fill>
                <patternFill>
                  <bgColor theme="9"/>
                </patternFill>
              </fill>
            </x14:dxf>
          </x14:cfRule>
          <x14:cfRule type="containsText" priority="5691" operator="containsText" id="{0F72675B-1574-4C1B-B89D-E4133BC4EC65}">
            <xm:f>NOT(ISERROR(SEARCH($Q$12,Q452)))</xm:f>
            <xm:f>$Q$12</xm:f>
            <x14:dxf>
              <fill>
                <patternFill>
                  <bgColor theme="9" tint="0.59996337778862885"/>
                </patternFill>
              </fill>
            </x14:dxf>
          </x14:cfRule>
          <x14:cfRule type="containsText" priority="5690" operator="containsText" id="{9DCB7B8D-8F29-4440-A853-62049B2BB39F}">
            <xm:f>NOT(ISERROR(SEARCH($Q$12,Q452)))</xm:f>
            <xm:f>$Q$12</xm:f>
            <x14:dxf>
              <fill>
                <patternFill>
                  <bgColor rgb="FFFF0000"/>
                </patternFill>
              </fill>
            </x14:dxf>
          </x14:cfRule>
          <x14:cfRule type="containsText" priority="5689" operator="containsText" id="{DA658E96-80F9-4F52-B301-E44E9334B2E5}">
            <xm:f>NOT(ISERROR(SEARCH($Q$12,Q452)))</xm:f>
            <xm:f>$Q$12</xm:f>
            <x14:dxf>
              <fill>
                <patternFill>
                  <bgColor rgb="FFFFC000"/>
                </patternFill>
              </fill>
            </x14:dxf>
          </x14:cfRule>
          <x14:cfRule type="containsText" priority="5688" operator="containsText" id="{563C3D82-A3E8-4005-95D8-1856EB6DF049}">
            <xm:f>NOT(ISERROR(SEARCH($Q$12,Q452)))</xm:f>
            <xm:f>$Q$12</xm:f>
            <x14:dxf>
              <fill>
                <patternFill>
                  <bgColor rgb="FFFFFF00"/>
                </patternFill>
              </fill>
            </x14:dxf>
          </x14:cfRule>
          <x14:cfRule type="containsText" priority="5687" operator="containsText" id="{D631AA57-0B46-4467-9E48-8807933F4D2B}">
            <xm:f>NOT(ISERROR(SEARCH($Q$12,Q452)))</xm:f>
            <xm:f>$Q$12</xm:f>
            <x14:dxf/>
          </x14:cfRule>
          <x14:cfRule type="containsText" priority="5686" operator="containsText" id="{BBFAD7E4-FF7C-4AB2-A029-939A9FEAF604}">
            <xm:f>NOT(ISERROR(SEARCH($Q$12,Q452)))</xm:f>
            <xm:f>$Q$12</xm:f>
            <x14:dxf>
              <fill>
                <patternFill>
                  <bgColor rgb="FF00B050"/>
                </patternFill>
              </fill>
            </x14:dxf>
          </x14:cfRule>
          <x14:cfRule type="containsText" priority="5685" operator="containsText" id="{0A7C51C4-7D02-4364-ADEF-C1C113B8E8BE}">
            <xm:f>NOT(ISERROR(SEARCH($Q$12,Q452)))</xm:f>
            <xm:f>$Q$12</xm:f>
            <x14:dxf>
              <fill>
                <patternFill>
                  <bgColor theme="9" tint="0.39994506668294322"/>
                </patternFill>
              </fill>
            </x14:dxf>
          </x14:cfRule>
          <x14:cfRule type="containsText" priority="5684" operator="containsText" id="{FA3C1BCE-C9F9-4C2F-8E5E-91FCD48EF39C}">
            <xm:f>NOT(ISERROR(SEARCH($Q$12,Q452)))</xm:f>
            <xm:f>$Q$12</xm:f>
            <x14:dxf>
              <fill>
                <patternFill>
                  <bgColor theme="9" tint="0.79998168889431442"/>
                </patternFill>
              </fill>
            </x14:dxf>
          </x14:cfRule>
          <x14:cfRule type="containsText" priority="5683" operator="containsText" id="{8DACF86B-36A4-44F4-A42B-F3CC6A8524B3}">
            <xm:f>NOT(ISERROR(SEARCH($Q$12,Q452)))</xm:f>
            <xm:f>$Q$12</xm:f>
            <x14:dxf>
              <fill>
                <patternFill>
                  <bgColor rgb="FFFFFF00"/>
                </patternFill>
              </fill>
            </x14:dxf>
          </x14:cfRule>
          <xm:sqref>Q452</xm:sqref>
        </x14:conditionalFormatting>
        <x14:conditionalFormatting xmlns:xm="http://schemas.microsoft.com/office/excel/2006/main">
          <x14:cfRule type="containsText" priority="5642" operator="containsText" id="{BD687B9C-C499-44F2-8E4E-D2A17A3D4DAD}">
            <xm:f>NOT(ISERROR(SEARCH($Q$12,Q462)))</xm:f>
            <xm:f>$Q$12</xm:f>
            <x14:dxf>
              <fill>
                <patternFill>
                  <bgColor rgb="FFFF0000"/>
                </patternFill>
              </fill>
            </x14:dxf>
          </x14:cfRule>
          <x14:cfRule type="containsText" priority="5637" operator="containsText" id="{4CA96DEB-C5A5-4E35-BB79-8A0140B7EB91}">
            <xm:f>NOT(ISERROR(SEARCH($Q$12,Q462)))</xm:f>
            <xm:f>$Q$12</xm:f>
            <x14:dxf>
              <fill>
                <patternFill>
                  <bgColor theme="9" tint="0.39994506668294322"/>
                </patternFill>
              </fill>
            </x14:dxf>
          </x14:cfRule>
          <x14:cfRule type="containsText" priority="5635" operator="containsText" id="{E4D8C401-0B5E-417C-907D-2912BC36A9B0}">
            <xm:f>NOT(ISERROR(SEARCH($Q$12,Q462)))</xm:f>
            <xm:f>$Q$12</xm:f>
            <x14:dxf>
              <fill>
                <patternFill>
                  <bgColor rgb="FFFFFF00"/>
                </patternFill>
              </fill>
            </x14:dxf>
          </x14:cfRule>
          <x14:cfRule type="containsText" priority="5636" operator="containsText" id="{5675339E-0A87-476A-B225-08B90942B8AB}">
            <xm:f>NOT(ISERROR(SEARCH($Q$12,Q462)))</xm:f>
            <xm:f>$Q$12</xm:f>
            <x14:dxf>
              <fill>
                <patternFill>
                  <bgColor theme="9" tint="0.79998168889431442"/>
                </patternFill>
              </fill>
            </x14:dxf>
          </x14:cfRule>
          <x14:cfRule type="containsText" priority="5638" operator="containsText" id="{9705C036-8762-426E-A039-721EF5BF2E5E}">
            <xm:f>NOT(ISERROR(SEARCH($Q$12,Q462)))</xm:f>
            <xm:f>$Q$12</xm:f>
            <x14:dxf>
              <fill>
                <patternFill>
                  <bgColor rgb="FF00B050"/>
                </patternFill>
              </fill>
            </x14:dxf>
          </x14:cfRule>
          <x14:cfRule type="containsText" priority="5639" operator="containsText" id="{5B4E2524-07C1-4C09-9B38-6FEA4CECF52D}">
            <xm:f>NOT(ISERROR(SEARCH($Q$12,Q462)))</xm:f>
            <xm:f>$Q$12</xm:f>
            <x14:dxf/>
          </x14:cfRule>
          <x14:cfRule type="containsText" priority="5640" operator="containsText" id="{6D1E3FF2-4191-4D81-9508-7C79D0DA7DEF}">
            <xm:f>NOT(ISERROR(SEARCH($Q$12,Q462)))</xm:f>
            <xm:f>$Q$12</xm:f>
            <x14:dxf>
              <fill>
                <patternFill>
                  <bgColor rgb="FFFFFF00"/>
                </patternFill>
              </fill>
            </x14:dxf>
          </x14:cfRule>
          <x14:cfRule type="containsText" priority="5641" operator="containsText" id="{AD705A2F-102B-4F3D-BF66-D6C905753087}">
            <xm:f>NOT(ISERROR(SEARCH($Q$12,Q462)))</xm:f>
            <xm:f>$Q$12</xm:f>
            <x14:dxf>
              <fill>
                <patternFill>
                  <bgColor rgb="FFFFC000"/>
                </patternFill>
              </fill>
            </x14:dxf>
          </x14:cfRule>
          <x14:cfRule type="containsText" priority="5643" operator="containsText" id="{1CFFDAE6-88E2-477D-BD76-BC5C23564035}">
            <xm:f>NOT(ISERROR(SEARCH($Q$12,Q462)))</xm:f>
            <xm:f>$Q$12</xm:f>
            <x14:dxf>
              <fill>
                <patternFill>
                  <bgColor theme="9" tint="0.59996337778862885"/>
                </patternFill>
              </fill>
            </x14:dxf>
          </x14:cfRule>
          <x14:cfRule type="containsText" priority="5644" operator="containsText" id="{021AAA5D-17AD-43BF-A89F-460C9DDFDF85}">
            <xm:f>NOT(ISERROR(SEARCH($Q$12,Q462)))</xm:f>
            <xm:f>$Q$12</xm:f>
            <x14:dxf>
              <fill>
                <patternFill>
                  <bgColor theme="9"/>
                </patternFill>
              </fill>
            </x14:dxf>
          </x14:cfRule>
          <x14:cfRule type="containsText" priority="5645" operator="containsText" id="{3949DF56-705E-4EAB-BA4A-A900766D0E3A}">
            <xm:f>NOT(ISERROR(SEARCH($Q$12,Q462)))</xm:f>
            <xm:f>$Q$12</xm:f>
            <x14:dxf>
              <fill>
                <patternFill>
                  <bgColor rgb="FFFFFF00"/>
                </patternFill>
              </fill>
            </x14:dxf>
          </x14:cfRule>
          <x14:cfRule type="containsText" priority="5646" operator="containsText" id="{EDFAB786-7DFE-4E2A-8FC8-620BE8F7E023}">
            <xm:f>NOT(ISERROR(SEARCH($Q$12,Q462)))</xm:f>
            <xm:f>$Q$12</xm:f>
            <x14:dxf>
              <fill>
                <patternFill>
                  <bgColor rgb="FFFFC000"/>
                </patternFill>
              </fill>
            </x14:dxf>
          </x14:cfRule>
          <x14:cfRule type="containsText" priority="5647" operator="containsText" id="{AC5E4638-A3E4-4EF6-8063-4D81385C3962}">
            <xm:f>NOT(ISERROR(SEARCH($Q$12,Q462)))</xm:f>
            <xm:f>$Q$12</xm:f>
            <x14:dxf>
              <fill>
                <patternFill>
                  <bgColor rgb="FFFF0000"/>
                </patternFill>
              </fill>
            </x14:dxf>
          </x14:cfRule>
          <xm:sqref>Q462</xm:sqref>
        </x14:conditionalFormatting>
        <x14:conditionalFormatting xmlns:xm="http://schemas.microsoft.com/office/excel/2006/main">
          <x14:cfRule type="containsText" priority="5588" operator="containsText" id="{EBA4762F-D9FC-4F65-9D76-C1A3F64DC70A}">
            <xm:f>NOT(ISERROR(SEARCH($Q$12,Q472)))</xm:f>
            <xm:f>$Q$12</xm:f>
            <x14:dxf>
              <fill>
                <patternFill>
                  <bgColor theme="9" tint="0.79998168889431442"/>
                </patternFill>
              </fill>
            </x14:dxf>
          </x14:cfRule>
          <x14:cfRule type="containsText" priority="5589" operator="containsText" id="{56C84245-2BED-4424-993D-0000E1A1B158}">
            <xm:f>NOT(ISERROR(SEARCH($Q$12,Q472)))</xm:f>
            <xm:f>$Q$12</xm:f>
            <x14:dxf>
              <fill>
                <patternFill>
                  <bgColor theme="9" tint="0.39994506668294322"/>
                </patternFill>
              </fill>
            </x14:dxf>
          </x14:cfRule>
          <x14:cfRule type="containsText" priority="5590" operator="containsText" id="{57CB9963-8E50-4B7C-B79D-E4DB40143307}">
            <xm:f>NOT(ISERROR(SEARCH($Q$12,Q472)))</xm:f>
            <xm:f>$Q$12</xm:f>
            <x14:dxf>
              <fill>
                <patternFill>
                  <bgColor rgb="FF00B050"/>
                </patternFill>
              </fill>
            </x14:dxf>
          </x14:cfRule>
          <x14:cfRule type="containsText" priority="5591" operator="containsText" id="{00F3FA7B-3E5B-460F-9EBE-BB08A69E8A17}">
            <xm:f>NOT(ISERROR(SEARCH($Q$12,Q472)))</xm:f>
            <xm:f>$Q$12</xm:f>
            <x14:dxf/>
          </x14:cfRule>
          <x14:cfRule type="containsText" priority="5595" operator="containsText" id="{A60A8024-FA1E-4EDD-80CD-C0AA7A14ADA6}">
            <xm:f>NOT(ISERROR(SEARCH($Q$12,Q472)))</xm:f>
            <xm:f>$Q$12</xm:f>
            <x14:dxf>
              <fill>
                <patternFill>
                  <bgColor theme="9" tint="0.59996337778862885"/>
                </patternFill>
              </fill>
            </x14:dxf>
          </x14:cfRule>
          <x14:cfRule type="containsText" priority="5597" operator="containsText" id="{8C86B77D-B8FA-427B-9E8F-EDFB78EE0D9B}">
            <xm:f>NOT(ISERROR(SEARCH($Q$12,Q472)))</xm:f>
            <xm:f>$Q$12</xm:f>
            <x14:dxf>
              <fill>
                <patternFill>
                  <bgColor rgb="FFFFFF00"/>
                </patternFill>
              </fill>
            </x14:dxf>
          </x14:cfRule>
          <x14:cfRule type="containsText" priority="5587" operator="containsText" id="{BC3E6D0E-D5B9-44D2-BA1C-A2B2CD49BBCD}">
            <xm:f>NOT(ISERROR(SEARCH($Q$12,Q472)))</xm:f>
            <xm:f>$Q$12</xm:f>
            <x14:dxf>
              <fill>
                <patternFill>
                  <bgColor rgb="FFFFFF00"/>
                </patternFill>
              </fill>
            </x14:dxf>
          </x14:cfRule>
          <x14:cfRule type="containsText" priority="5598" operator="containsText" id="{7E39B9B6-7B1C-4F89-994B-5E2A2306C8C2}">
            <xm:f>NOT(ISERROR(SEARCH($Q$12,Q472)))</xm:f>
            <xm:f>$Q$12</xm:f>
            <x14:dxf>
              <fill>
                <patternFill>
                  <bgColor rgb="FFFFC000"/>
                </patternFill>
              </fill>
            </x14:dxf>
          </x14:cfRule>
          <x14:cfRule type="containsText" priority="5592" operator="containsText" id="{68530C31-ECDA-4DF5-A19C-57B1F42D5236}">
            <xm:f>NOT(ISERROR(SEARCH($Q$12,Q472)))</xm:f>
            <xm:f>$Q$12</xm:f>
            <x14:dxf>
              <fill>
                <patternFill>
                  <bgColor rgb="FFFFFF00"/>
                </patternFill>
              </fill>
            </x14:dxf>
          </x14:cfRule>
          <x14:cfRule type="containsText" priority="5593" operator="containsText" id="{A8757DDC-2530-4A38-9278-7B97F4C0417B}">
            <xm:f>NOT(ISERROR(SEARCH($Q$12,Q472)))</xm:f>
            <xm:f>$Q$12</xm:f>
            <x14:dxf>
              <fill>
                <patternFill>
                  <bgColor rgb="FFFFC000"/>
                </patternFill>
              </fill>
            </x14:dxf>
          </x14:cfRule>
          <x14:cfRule type="containsText" priority="5594" operator="containsText" id="{55E9ACF5-88A7-4D4B-9780-A8D8156BC62E}">
            <xm:f>NOT(ISERROR(SEARCH($Q$12,Q472)))</xm:f>
            <xm:f>$Q$12</xm:f>
            <x14:dxf>
              <fill>
                <patternFill>
                  <bgColor rgb="FFFF0000"/>
                </patternFill>
              </fill>
            </x14:dxf>
          </x14:cfRule>
          <x14:cfRule type="containsText" priority="5599" operator="containsText" id="{755802B1-571A-479F-8356-313B7BFC121D}">
            <xm:f>NOT(ISERROR(SEARCH($Q$12,Q472)))</xm:f>
            <xm:f>$Q$12</xm:f>
            <x14:dxf>
              <fill>
                <patternFill>
                  <bgColor rgb="FFFF0000"/>
                </patternFill>
              </fill>
            </x14:dxf>
          </x14:cfRule>
          <x14:cfRule type="containsText" priority="5596" operator="containsText" id="{2EE7E9F8-0946-4595-83D9-69AD880DC31C}">
            <xm:f>NOT(ISERROR(SEARCH($Q$12,Q472)))</xm:f>
            <xm:f>$Q$12</xm:f>
            <x14:dxf>
              <fill>
                <patternFill>
                  <bgColor theme="9"/>
                </patternFill>
              </fill>
            </x14:dxf>
          </x14:cfRule>
          <xm:sqref>Q472</xm:sqref>
        </x14:conditionalFormatting>
        <x14:conditionalFormatting xmlns:xm="http://schemas.microsoft.com/office/excel/2006/main">
          <x14:cfRule type="containsText" priority="5542" operator="containsText" id="{B2C1C036-E222-4C98-A238-4DC107C8F448}">
            <xm:f>NOT(ISERROR(SEARCH($Q$12,Q482)))</xm:f>
            <xm:f>$Q$12</xm:f>
            <x14:dxf>
              <fill>
                <patternFill>
                  <bgColor rgb="FF00B050"/>
                </patternFill>
              </fill>
            </x14:dxf>
          </x14:cfRule>
          <x14:cfRule type="containsText" priority="5541" operator="containsText" id="{9425C050-CEE0-4426-9F77-8ACD68AC37E8}">
            <xm:f>NOT(ISERROR(SEARCH($Q$12,Q482)))</xm:f>
            <xm:f>$Q$12</xm:f>
            <x14:dxf>
              <fill>
                <patternFill>
                  <bgColor theme="9" tint="0.39994506668294322"/>
                </patternFill>
              </fill>
            </x14:dxf>
          </x14:cfRule>
          <x14:cfRule type="containsText" priority="5540" operator="containsText" id="{E70A9CC3-32F9-4C39-89B1-C43698319AF9}">
            <xm:f>NOT(ISERROR(SEARCH($Q$12,Q482)))</xm:f>
            <xm:f>$Q$12</xm:f>
            <x14:dxf>
              <fill>
                <patternFill>
                  <bgColor theme="9" tint="0.79998168889431442"/>
                </patternFill>
              </fill>
            </x14:dxf>
          </x14:cfRule>
          <x14:cfRule type="containsText" priority="5539" operator="containsText" id="{0A9F88A6-008F-4503-AF94-CCD1A4A51E28}">
            <xm:f>NOT(ISERROR(SEARCH($Q$12,Q482)))</xm:f>
            <xm:f>$Q$12</xm:f>
            <x14:dxf>
              <fill>
                <patternFill>
                  <bgColor rgb="FFFFFF00"/>
                </patternFill>
              </fill>
            </x14:dxf>
          </x14:cfRule>
          <x14:cfRule type="containsText" priority="5551" operator="containsText" id="{EABC22D1-D0CD-42E8-B342-B8DEFB51345E}">
            <xm:f>NOT(ISERROR(SEARCH($Q$12,Q482)))</xm:f>
            <xm:f>$Q$12</xm:f>
            <x14:dxf>
              <fill>
                <patternFill>
                  <bgColor rgb="FFFF0000"/>
                </patternFill>
              </fill>
            </x14:dxf>
          </x14:cfRule>
          <x14:cfRule type="containsText" priority="5550" operator="containsText" id="{E523099D-6AFD-4029-B648-E898580A4733}">
            <xm:f>NOT(ISERROR(SEARCH($Q$12,Q482)))</xm:f>
            <xm:f>$Q$12</xm:f>
            <x14:dxf>
              <fill>
                <patternFill>
                  <bgColor rgb="FFFFC000"/>
                </patternFill>
              </fill>
            </x14:dxf>
          </x14:cfRule>
          <x14:cfRule type="containsText" priority="5549" operator="containsText" id="{4C8FF9EE-D2DB-4CD4-B61B-9A1059531BD5}">
            <xm:f>NOT(ISERROR(SEARCH($Q$12,Q482)))</xm:f>
            <xm:f>$Q$12</xm:f>
            <x14:dxf>
              <fill>
                <patternFill>
                  <bgColor rgb="FFFFFF00"/>
                </patternFill>
              </fill>
            </x14:dxf>
          </x14:cfRule>
          <x14:cfRule type="containsText" priority="5548" operator="containsText" id="{1C90ED06-9DAA-4FA5-AFC6-0D824321B91F}">
            <xm:f>NOT(ISERROR(SEARCH($Q$12,Q482)))</xm:f>
            <xm:f>$Q$12</xm:f>
            <x14:dxf>
              <fill>
                <patternFill>
                  <bgColor theme="9"/>
                </patternFill>
              </fill>
            </x14:dxf>
          </x14:cfRule>
          <x14:cfRule type="containsText" priority="5546" operator="containsText" id="{889B4F79-6F31-4CAC-B3FB-6BDD88819678}">
            <xm:f>NOT(ISERROR(SEARCH($Q$12,Q482)))</xm:f>
            <xm:f>$Q$12</xm:f>
            <x14:dxf>
              <fill>
                <patternFill>
                  <bgColor rgb="FFFF0000"/>
                </patternFill>
              </fill>
            </x14:dxf>
          </x14:cfRule>
          <x14:cfRule type="containsText" priority="5544" operator="containsText" id="{CE0BCDFD-B6D5-4E1B-AC12-A5B9A7181E8E}">
            <xm:f>NOT(ISERROR(SEARCH($Q$12,Q482)))</xm:f>
            <xm:f>$Q$12</xm:f>
            <x14:dxf>
              <fill>
                <patternFill>
                  <bgColor rgb="FFFFFF00"/>
                </patternFill>
              </fill>
            </x14:dxf>
          </x14:cfRule>
          <x14:cfRule type="containsText" priority="5543" operator="containsText" id="{70048667-2391-4862-8225-05F313486B2C}">
            <xm:f>NOT(ISERROR(SEARCH($Q$12,Q482)))</xm:f>
            <xm:f>$Q$12</xm:f>
            <x14:dxf/>
          </x14:cfRule>
          <x14:cfRule type="containsText" priority="5547" operator="containsText" id="{1DB9A874-B172-4CB4-9947-DABE4169AAAC}">
            <xm:f>NOT(ISERROR(SEARCH($Q$12,Q482)))</xm:f>
            <xm:f>$Q$12</xm:f>
            <x14:dxf>
              <fill>
                <patternFill>
                  <bgColor theme="9" tint="0.59996337778862885"/>
                </patternFill>
              </fill>
            </x14:dxf>
          </x14:cfRule>
          <x14:cfRule type="containsText" priority="5545" operator="containsText" id="{5101B7D8-B724-4385-8DC0-11DA2761C01D}">
            <xm:f>NOT(ISERROR(SEARCH($Q$12,Q482)))</xm:f>
            <xm:f>$Q$12</xm:f>
            <x14:dxf>
              <fill>
                <patternFill>
                  <bgColor rgb="FFFFC000"/>
                </patternFill>
              </fill>
            </x14:dxf>
          </x14:cfRule>
          <xm:sqref>Q482</xm:sqref>
        </x14:conditionalFormatting>
        <x14:conditionalFormatting xmlns:xm="http://schemas.microsoft.com/office/excel/2006/main">
          <x14:cfRule type="containsText" priority="5496" operator="containsText" id="{B4AE69A1-A207-4122-947A-5C0B00A4ECF8}">
            <xm:f>NOT(ISERROR(SEARCH($Q$12,Q492)))</xm:f>
            <xm:f>$Q$12</xm:f>
            <x14:dxf>
              <fill>
                <patternFill>
                  <bgColor rgb="FFFFFF00"/>
                </patternFill>
              </fill>
            </x14:dxf>
          </x14:cfRule>
          <x14:cfRule type="containsText" priority="5495" operator="containsText" id="{CC796FBB-0886-4C6A-862A-D32A3ACB026D}">
            <xm:f>NOT(ISERROR(SEARCH($Q$12,Q492)))</xm:f>
            <xm:f>$Q$12</xm:f>
            <x14:dxf/>
          </x14:cfRule>
          <x14:cfRule type="containsText" priority="5494" operator="containsText" id="{16E9D58F-E3C9-4B7A-99C4-7ADC7000388C}">
            <xm:f>NOT(ISERROR(SEARCH($Q$12,Q492)))</xm:f>
            <xm:f>$Q$12</xm:f>
            <x14:dxf>
              <fill>
                <patternFill>
                  <bgColor rgb="FF00B050"/>
                </patternFill>
              </fill>
            </x14:dxf>
          </x14:cfRule>
          <x14:cfRule type="containsText" priority="5493" operator="containsText" id="{10F2D05E-4C61-4B80-B0D3-9A97738A0E75}">
            <xm:f>NOT(ISERROR(SEARCH($Q$12,Q492)))</xm:f>
            <xm:f>$Q$12</xm:f>
            <x14:dxf>
              <fill>
                <patternFill>
                  <bgColor theme="9" tint="0.39994506668294322"/>
                </patternFill>
              </fill>
            </x14:dxf>
          </x14:cfRule>
          <x14:cfRule type="containsText" priority="5492" operator="containsText" id="{6239D2D9-CE27-4E67-91EA-B2DBC2160648}">
            <xm:f>NOT(ISERROR(SEARCH($Q$12,Q492)))</xm:f>
            <xm:f>$Q$12</xm:f>
            <x14:dxf>
              <fill>
                <patternFill>
                  <bgColor theme="9" tint="0.79998168889431442"/>
                </patternFill>
              </fill>
            </x14:dxf>
          </x14:cfRule>
          <x14:cfRule type="containsText" priority="5491" operator="containsText" id="{4AAEAE99-2441-4E77-B25D-B9DD0E4D37A0}">
            <xm:f>NOT(ISERROR(SEARCH($Q$12,Q492)))</xm:f>
            <xm:f>$Q$12</xm:f>
            <x14:dxf>
              <fill>
                <patternFill>
                  <bgColor rgb="FFFFFF00"/>
                </patternFill>
              </fill>
            </x14:dxf>
          </x14:cfRule>
          <x14:cfRule type="containsText" priority="5499" operator="containsText" id="{C2604C07-9F8D-4256-9620-F7184A92282A}">
            <xm:f>NOT(ISERROR(SEARCH($Q$12,Q492)))</xm:f>
            <xm:f>$Q$12</xm:f>
            <x14:dxf>
              <fill>
                <patternFill>
                  <bgColor theme="9" tint="0.59996337778862885"/>
                </patternFill>
              </fill>
            </x14:dxf>
          </x14:cfRule>
          <x14:cfRule type="containsText" priority="5503" operator="containsText" id="{B6EAA7B3-CCAE-4F34-821E-71249BDC2BC4}">
            <xm:f>NOT(ISERROR(SEARCH($Q$12,Q492)))</xm:f>
            <xm:f>$Q$12</xm:f>
            <x14:dxf>
              <fill>
                <patternFill>
                  <bgColor rgb="FFFF0000"/>
                </patternFill>
              </fill>
            </x14:dxf>
          </x14:cfRule>
          <x14:cfRule type="containsText" priority="5502" operator="containsText" id="{CE4051CC-A9E9-4DEE-8C00-5B78E54772BB}">
            <xm:f>NOT(ISERROR(SEARCH($Q$12,Q492)))</xm:f>
            <xm:f>$Q$12</xm:f>
            <x14:dxf>
              <fill>
                <patternFill>
                  <bgColor rgb="FFFFC000"/>
                </patternFill>
              </fill>
            </x14:dxf>
          </x14:cfRule>
          <x14:cfRule type="containsText" priority="5501" operator="containsText" id="{E16494AF-DDCD-4155-9818-40B39106EE75}">
            <xm:f>NOT(ISERROR(SEARCH($Q$12,Q492)))</xm:f>
            <xm:f>$Q$12</xm:f>
            <x14:dxf>
              <fill>
                <patternFill>
                  <bgColor rgb="FFFFFF00"/>
                </patternFill>
              </fill>
            </x14:dxf>
          </x14:cfRule>
          <x14:cfRule type="containsText" priority="5500" operator="containsText" id="{513327C0-49F1-4422-BCDE-0861F8BCB425}">
            <xm:f>NOT(ISERROR(SEARCH($Q$12,Q492)))</xm:f>
            <xm:f>$Q$12</xm:f>
            <x14:dxf>
              <fill>
                <patternFill>
                  <bgColor theme="9"/>
                </patternFill>
              </fill>
            </x14:dxf>
          </x14:cfRule>
          <x14:cfRule type="containsText" priority="5498" operator="containsText" id="{3FF41C20-A38E-4136-B137-6AFC9EC8998D}">
            <xm:f>NOT(ISERROR(SEARCH($Q$12,Q492)))</xm:f>
            <xm:f>$Q$12</xm:f>
            <x14:dxf>
              <fill>
                <patternFill>
                  <bgColor rgb="FFFF0000"/>
                </patternFill>
              </fill>
            </x14:dxf>
          </x14:cfRule>
          <x14:cfRule type="containsText" priority="5497" operator="containsText" id="{D9D0517D-FB7B-480D-B0B6-532CDB1F16FC}">
            <xm:f>NOT(ISERROR(SEARCH($Q$12,Q492)))</xm:f>
            <xm:f>$Q$12</xm:f>
            <x14:dxf>
              <fill>
                <patternFill>
                  <bgColor rgb="FFFFC000"/>
                </patternFill>
              </fill>
            </x14:dxf>
          </x14:cfRule>
          <xm:sqref>Q492</xm:sqref>
        </x14:conditionalFormatting>
        <x14:conditionalFormatting xmlns:xm="http://schemas.microsoft.com/office/excel/2006/main">
          <x14:cfRule type="containsText" priority="5265" operator="containsText" id="{7B8A20D8-40C0-489A-9C5C-DB787C5282CA}">
            <xm:f>NOT(ISERROR(SEARCH($Q$12,Q502)))</xm:f>
            <xm:f>$Q$12</xm:f>
            <x14:dxf>
              <fill>
                <patternFill>
                  <bgColor rgb="FFFFFF00"/>
                </patternFill>
              </fill>
            </x14:dxf>
          </x14:cfRule>
          <x14:cfRule type="containsText" priority="5268" operator="containsText" id="{08760ED6-D57C-43D4-9310-86EF515D64A4}">
            <xm:f>NOT(ISERROR(SEARCH($Q$12,Q502)))</xm:f>
            <xm:f>$Q$12</xm:f>
            <x14:dxf>
              <fill>
                <patternFill>
                  <bgColor rgb="FF00B050"/>
                </patternFill>
              </fill>
            </x14:dxf>
          </x14:cfRule>
          <x14:cfRule type="containsText" priority="5267" operator="containsText" id="{3A4D8C23-55F5-4124-A2D2-7DF07AF5C0BB}">
            <xm:f>NOT(ISERROR(SEARCH($Q$12,Q502)))</xm:f>
            <xm:f>$Q$12</xm:f>
            <x14:dxf>
              <fill>
                <patternFill>
                  <bgColor theme="9" tint="0.39994506668294322"/>
                </patternFill>
              </fill>
            </x14:dxf>
          </x14:cfRule>
          <x14:cfRule type="containsText" priority="5270" operator="containsText" id="{8DD29009-A969-4A17-A41E-1C530F6EB322}">
            <xm:f>NOT(ISERROR(SEARCH($Q$12,Q502)))</xm:f>
            <xm:f>$Q$12</xm:f>
            <x14:dxf>
              <fill>
                <patternFill>
                  <bgColor rgb="FFFFFF00"/>
                </patternFill>
              </fill>
            </x14:dxf>
          </x14:cfRule>
          <x14:cfRule type="containsText" priority="5272" operator="containsText" id="{30FDB898-C874-4667-96F0-7A3D2A07EB0F}">
            <xm:f>NOT(ISERROR(SEARCH($Q$12,Q502)))</xm:f>
            <xm:f>$Q$12</xm:f>
            <x14:dxf>
              <fill>
                <patternFill>
                  <bgColor rgb="FFFF0000"/>
                </patternFill>
              </fill>
            </x14:dxf>
          </x14:cfRule>
          <x14:cfRule type="containsText" priority="5276" operator="containsText" id="{9424F33A-302B-4FFA-9185-AE23219B7A2F}">
            <xm:f>NOT(ISERROR(SEARCH($Q$12,Q502)))</xm:f>
            <xm:f>$Q$12</xm:f>
            <x14:dxf>
              <fill>
                <patternFill>
                  <bgColor rgb="FFFFC000"/>
                </patternFill>
              </fill>
            </x14:dxf>
          </x14:cfRule>
          <x14:cfRule type="containsText" priority="5269" operator="containsText" id="{C4F7ADFE-33E7-4C81-A8B6-A324CE3A5B59}">
            <xm:f>NOT(ISERROR(SEARCH($Q$12,Q502)))</xm:f>
            <xm:f>$Q$12</xm:f>
            <x14:dxf/>
          </x14:cfRule>
          <x14:cfRule type="containsText" priority="5275" operator="containsText" id="{5A6ED964-5430-4421-A5FC-1A28E5911B19}">
            <xm:f>NOT(ISERROR(SEARCH($Q$12,Q502)))</xm:f>
            <xm:f>$Q$12</xm:f>
            <x14:dxf>
              <fill>
                <patternFill>
                  <bgColor rgb="FFFFFF00"/>
                </patternFill>
              </fill>
            </x14:dxf>
          </x14:cfRule>
          <x14:cfRule type="containsText" priority="5266" operator="containsText" id="{BFEFAEAF-4642-4732-9737-1DCE391FCA4F}">
            <xm:f>NOT(ISERROR(SEARCH($Q$12,Q502)))</xm:f>
            <xm:f>$Q$12</xm:f>
            <x14:dxf>
              <fill>
                <patternFill>
                  <bgColor theme="9" tint="0.79998168889431442"/>
                </patternFill>
              </fill>
            </x14:dxf>
          </x14:cfRule>
          <x14:cfRule type="containsText" priority="5274" operator="containsText" id="{88D9427C-F2FA-4751-B4DF-8D2D1FC28DC5}">
            <xm:f>NOT(ISERROR(SEARCH($Q$12,Q502)))</xm:f>
            <xm:f>$Q$12</xm:f>
            <x14:dxf>
              <fill>
                <patternFill>
                  <bgColor theme="9"/>
                </patternFill>
              </fill>
            </x14:dxf>
          </x14:cfRule>
          <x14:cfRule type="containsText" priority="5273" operator="containsText" id="{C0699001-E486-4960-8E57-2B477FC5EC09}">
            <xm:f>NOT(ISERROR(SEARCH($Q$12,Q502)))</xm:f>
            <xm:f>$Q$12</xm:f>
            <x14:dxf>
              <fill>
                <patternFill>
                  <bgColor theme="9" tint="0.59996337778862885"/>
                </patternFill>
              </fill>
            </x14:dxf>
          </x14:cfRule>
          <x14:cfRule type="containsText" priority="5277" operator="containsText" id="{243C12B8-2C32-4F82-8E11-AA68BFC7EB3C}">
            <xm:f>NOT(ISERROR(SEARCH($Q$12,Q502)))</xm:f>
            <xm:f>$Q$12</xm:f>
            <x14:dxf>
              <fill>
                <patternFill>
                  <bgColor rgb="FFFF0000"/>
                </patternFill>
              </fill>
            </x14:dxf>
          </x14:cfRule>
          <x14:cfRule type="containsText" priority="5271" operator="containsText" id="{F3A21D4D-411E-4C32-B6BD-255115FFD880}">
            <xm:f>NOT(ISERROR(SEARCH($Q$12,Q502)))</xm:f>
            <xm:f>$Q$12</xm:f>
            <x14:dxf>
              <fill>
                <patternFill>
                  <bgColor rgb="FFFFC000"/>
                </patternFill>
              </fill>
            </x14:dxf>
          </x14:cfRule>
          <xm:sqref>Q502</xm:sqref>
        </x14:conditionalFormatting>
        <x14:conditionalFormatting xmlns:xm="http://schemas.microsoft.com/office/excel/2006/main">
          <x14:cfRule type="containsText" priority="5228" operator="containsText" id="{F3FDC49E-CD54-408C-8D84-47891AB316F9}">
            <xm:f>NOT(ISERROR(SEARCH($Q$12,Q512)))</xm:f>
            <xm:f>$Q$12</xm:f>
            <x14:dxf>
              <fill>
                <patternFill>
                  <bgColor rgb="FFFFC000"/>
                </patternFill>
              </fill>
            </x14:dxf>
          </x14:cfRule>
          <x14:cfRule type="containsText" priority="5229" operator="containsText" id="{E7E66455-62DD-40AB-9D2E-090A48802066}">
            <xm:f>NOT(ISERROR(SEARCH($Q$12,Q512)))</xm:f>
            <xm:f>$Q$12</xm:f>
            <x14:dxf>
              <fill>
                <patternFill>
                  <bgColor rgb="FFFF0000"/>
                </patternFill>
              </fill>
            </x14:dxf>
          </x14:cfRule>
          <x14:cfRule type="containsText" priority="5219" operator="containsText" id="{5CF2F695-5036-4D07-B64F-B1256BFE6FF3}">
            <xm:f>NOT(ISERROR(SEARCH($Q$12,Q512)))</xm:f>
            <xm:f>$Q$12</xm:f>
            <x14:dxf>
              <fill>
                <patternFill>
                  <bgColor theme="9" tint="0.39994506668294322"/>
                </patternFill>
              </fill>
            </x14:dxf>
          </x14:cfRule>
          <x14:cfRule type="containsText" priority="5221" operator="containsText" id="{945A9D03-908E-4D69-8E0B-7E74A5AB4617}">
            <xm:f>NOT(ISERROR(SEARCH($Q$12,Q512)))</xm:f>
            <xm:f>$Q$12</xm:f>
            <x14:dxf/>
          </x14:cfRule>
          <x14:cfRule type="containsText" priority="5220" operator="containsText" id="{DF9DE90A-B978-48FC-8C67-4D379599C558}">
            <xm:f>NOT(ISERROR(SEARCH($Q$12,Q512)))</xm:f>
            <xm:f>$Q$12</xm:f>
            <x14:dxf>
              <fill>
                <patternFill>
                  <bgColor rgb="FF00B050"/>
                </patternFill>
              </fill>
            </x14:dxf>
          </x14:cfRule>
          <x14:cfRule type="containsText" priority="5218" operator="containsText" id="{982DBE19-BA27-4A0D-8FCF-F16FBFCF2649}">
            <xm:f>NOT(ISERROR(SEARCH($Q$12,Q512)))</xm:f>
            <xm:f>$Q$12</xm:f>
            <x14:dxf>
              <fill>
                <patternFill>
                  <bgColor theme="9" tint="0.79998168889431442"/>
                </patternFill>
              </fill>
            </x14:dxf>
          </x14:cfRule>
          <x14:cfRule type="containsText" priority="5217" operator="containsText" id="{9861BBC6-3812-4020-8D41-3B133F7C571B}">
            <xm:f>NOT(ISERROR(SEARCH($Q$12,Q512)))</xm:f>
            <xm:f>$Q$12</xm:f>
            <x14:dxf>
              <fill>
                <patternFill>
                  <bgColor rgb="FFFFFF00"/>
                </patternFill>
              </fill>
            </x14:dxf>
          </x14:cfRule>
          <x14:cfRule type="containsText" priority="5225" operator="containsText" id="{FA45D63B-1550-4550-BC6C-A078DC800545}">
            <xm:f>NOT(ISERROR(SEARCH($Q$12,Q512)))</xm:f>
            <xm:f>$Q$12</xm:f>
            <x14:dxf>
              <fill>
                <patternFill>
                  <bgColor theme="9" tint="0.59996337778862885"/>
                </patternFill>
              </fill>
            </x14:dxf>
          </x14:cfRule>
          <x14:cfRule type="containsText" priority="5226" operator="containsText" id="{1CB7C78C-EE34-4047-8987-0F70C6FA7B5A}">
            <xm:f>NOT(ISERROR(SEARCH($Q$12,Q512)))</xm:f>
            <xm:f>$Q$12</xm:f>
            <x14:dxf>
              <fill>
                <patternFill>
                  <bgColor theme="9"/>
                </patternFill>
              </fill>
            </x14:dxf>
          </x14:cfRule>
          <x14:cfRule type="containsText" priority="5227" operator="containsText" id="{1CA6E55F-CF0D-4403-97C7-0EA38922DE66}">
            <xm:f>NOT(ISERROR(SEARCH($Q$12,Q512)))</xm:f>
            <xm:f>$Q$12</xm:f>
            <x14:dxf>
              <fill>
                <patternFill>
                  <bgColor rgb="FFFFFF00"/>
                </patternFill>
              </fill>
            </x14:dxf>
          </x14:cfRule>
          <x14:cfRule type="containsText" priority="5224" operator="containsText" id="{003ACC8A-AA75-4930-A108-E5A10E18F05A}">
            <xm:f>NOT(ISERROR(SEARCH($Q$12,Q512)))</xm:f>
            <xm:f>$Q$12</xm:f>
            <x14:dxf>
              <fill>
                <patternFill>
                  <bgColor rgb="FFFF0000"/>
                </patternFill>
              </fill>
            </x14:dxf>
          </x14:cfRule>
          <x14:cfRule type="containsText" priority="5223" operator="containsText" id="{5F5B3ED8-F32C-4CF5-A136-8526B06AD0DF}">
            <xm:f>NOT(ISERROR(SEARCH($Q$12,Q512)))</xm:f>
            <xm:f>$Q$12</xm:f>
            <x14:dxf>
              <fill>
                <patternFill>
                  <bgColor rgb="FFFFC000"/>
                </patternFill>
              </fill>
            </x14:dxf>
          </x14:cfRule>
          <x14:cfRule type="containsText" priority="5222" operator="containsText" id="{A428FE10-11CC-4A2B-B70A-96B1530A144E}">
            <xm:f>NOT(ISERROR(SEARCH($Q$12,Q512)))</xm:f>
            <xm:f>$Q$12</xm:f>
            <x14:dxf>
              <fill>
                <patternFill>
                  <bgColor rgb="FFFFFF00"/>
                </patternFill>
              </fill>
            </x14:dxf>
          </x14:cfRule>
          <xm:sqref>Q512</xm:sqref>
        </x14:conditionalFormatting>
        <x14:conditionalFormatting xmlns:xm="http://schemas.microsoft.com/office/excel/2006/main">
          <x14:cfRule type="containsText" priority="5177" operator="containsText" id="{1D600F4E-1D2D-41EA-A242-F169984D987C}">
            <xm:f>NOT(ISERROR(SEARCH($Q$12,Q522)))</xm:f>
            <xm:f>$Q$12</xm:f>
            <x14:dxf>
              <fill>
                <patternFill>
                  <bgColor theme="9" tint="0.59996337778862885"/>
                </patternFill>
              </fill>
            </x14:dxf>
          </x14:cfRule>
          <x14:cfRule type="containsText" priority="5175" operator="containsText" id="{41E9DCBE-EEB7-472C-A354-28996BEF47EB}">
            <xm:f>NOT(ISERROR(SEARCH($Q$12,Q522)))</xm:f>
            <xm:f>$Q$12</xm:f>
            <x14:dxf>
              <fill>
                <patternFill>
                  <bgColor rgb="FFFFC000"/>
                </patternFill>
              </fill>
            </x14:dxf>
          </x14:cfRule>
          <x14:cfRule type="containsText" priority="5171" operator="containsText" id="{97FC0664-A51C-4713-8DD5-D5ACBD288552}">
            <xm:f>NOT(ISERROR(SEARCH($Q$12,Q522)))</xm:f>
            <xm:f>$Q$12</xm:f>
            <x14:dxf>
              <fill>
                <patternFill>
                  <bgColor theme="9" tint="0.39994506668294322"/>
                </patternFill>
              </fill>
            </x14:dxf>
          </x14:cfRule>
          <x14:cfRule type="containsText" priority="5178" operator="containsText" id="{E4B586EC-C8AF-4066-9AA3-E5C28F2413A4}">
            <xm:f>NOT(ISERROR(SEARCH($Q$12,Q522)))</xm:f>
            <xm:f>$Q$12</xm:f>
            <x14:dxf>
              <fill>
                <patternFill>
                  <bgColor theme="9"/>
                </patternFill>
              </fill>
            </x14:dxf>
          </x14:cfRule>
          <x14:cfRule type="containsText" priority="5174" operator="containsText" id="{6666F46F-4727-4BFE-B095-5A8C20EE48E6}">
            <xm:f>NOT(ISERROR(SEARCH($Q$12,Q522)))</xm:f>
            <xm:f>$Q$12</xm:f>
            <x14:dxf>
              <fill>
                <patternFill>
                  <bgColor rgb="FFFFFF00"/>
                </patternFill>
              </fill>
            </x14:dxf>
          </x14:cfRule>
          <x14:cfRule type="containsText" priority="5172" operator="containsText" id="{8FDF8860-28E0-488C-901A-5877B4108C97}">
            <xm:f>NOT(ISERROR(SEARCH($Q$12,Q522)))</xm:f>
            <xm:f>$Q$12</xm:f>
            <x14:dxf>
              <fill>
                <patternFill>
                  <bgColor rgb="FF00B050"/>
                </patternFill>
              </fill>
            </x14:dxf>
          </x14:cfRule>
          <x14:cfRule type="containsText" priority="5170" operator="containsText" id="{E8414D8F-2B71-4171-BCD4-D4CA008C200B}">
            <xm:f>NOT(ISERROR(SEARCH($Q$12,Q522)))</xm:f>
            <xm:f>$Q$12</xm:f>
            <x14:dxf>
              <fill>
                <patternFill>
                  <bgColor theme="9" tint="0.79998168889431442"/>
                </patternFill>
              </fill>
            </x14:dxf>
          </x14:cfRule>
          <x14:cfRule type="containsText" priority="5173" operator="containsText" id="{7A6D301B-E7F9-4C4E-9690-642141437DF8}">
            <xm:f>NOT(ISERROR(SEARCH($Q$12,Q522)))</xm:f>
            <xm:f>$Q$12</xm:f>
            <x14:dxf/>
          </x14:cfRule>
          <x14:cfRule type="containsText" priority="5169" operator="containsText" id="{EFD9CA41-1480-4DC7-A4B5-3A43B71A9768}">
            <xm:f>NOT(ISERROR(SEARCH($Q$12,Q522)))</xm:f>
            <xm:f>$Q$12</xm:f>
            <x14:dxf>
              <fill>
                <patternFill>
                  <bgColor rgb="FFFFFF00"/>
                </patternFill>
              </fill>
            </x14:dxf>
          </x14:cfRule>
          <x14:cfRule type="containsText" priority="5176" operator="containsText" id="{B4F8019F-8F9A-42E1-9457-2F6399C3EA23}">
            <xm:f>NOT(ISERROR(SEARCH($Q$12,Q522)))</xm:f>
            <xm:f>$Q$12</xm:f>
            <x14:dxf>
              <fill>
                <patternFill>
                  <bgColor rgb="FFFF0000"/>
                </patternFill>
              </fill>
            </x14:dxf>
          </x14:cfRule>
          <x14:cfRule type="containsText" priority="5179" operator="containsText" id="{2EF1B1E6-5ED7-48E4-A4FF-707FCC952C0A}">
            <xm:f>NOT(ISERROR(SEARCH($Q$12,Q522)))</xm:f>
            <xm:f>$Q$12</xm:f>
            <x14:dxf>
              <fill>
                <patternFill>
                  <bgColor rgb="FFFFFF00"/>
                </patternFill>
              </fill>
            </x14:dxf>
          </x14:cfRule>
          <x14:cfRule type="containsText" priority="5180" operator="containsText" id="{243DE9A8-A39E-47BF-8702-63F56B9D6325}">
            <xm:f>NOT(ISERROR(SEARCH($Q$12,Q522)))</xm:f>
            <xm:f>$Q$12</xm:f>
            <x14:dxf>
              <fill>
                <patternFill>
                  <bgColor rgb="FFFFC000"/>
                </patternFill>
              </fill>
            </x14:dxf>
          </x14:cfRule>
          <x14:cfRule type="containsText" priority="5181" operator="containsText" id="{9AF4DF04-2702-4DE7-9BA9-A0EBDFEAED34}">
            <xm:f>NOT(ISERROR(SEARCH($Q$12,Q522)))</xm:f>
            <xm:f>$Q$12</xm:f>
            <x14:dxf>
              <fill>
                <patternFill>
                  <bgColor rgb="FFFF0000"/>
                </patternFill>
              </fill>
            </x14:dxf>
          </x14:cfRule>
          <xm:sqref>Q522</xm:sqref>
        </x14:conditionalFormatting>
        <x14:conditionalFormatting xmlns:xm="http://schemas.microsoft.com/office/excel/2006/main">
          <x14:cfRule type="containsText" priority="5019" operator="containsText" id="{465C54C2-185A-4A4D-9393-5CD2F8732CD4}">
            <xm:f>NOT(ISERROR(SEARCH($Q$12,Q532)))</xm:f>
            <xm:f>$Q$12</xm:f>
            <x14:dxf>
              <fill>
                <patternFill>
                  <bgColor rgb="FFFFFF00"/>
                </patternFill>
              </fill>
            </x14:dxf>
          </x14:cfRule>
          <x14:cfRule type="containsText" priority="5018" operator="containsText" id="{C6A3E452-E019-48C5-A1AC-439BA49851FD}">
            <xm:f>NOT(ISERROR(SEARCH($Q$12,Q532)))</xm:f>
            <xm:f>$Q$12</xm:f>
            <x14:dxf/>
          </x14:cfRule>
          <x14:cfRule type="containsText" priority="5017" operator="containsText" id="{F500D995-DB26-41CC-803E-ECAD792E115C}">
            <xm:f>NOT(ISERROR(SEARCH($Q$12,Q532)))</xm:f>
            <xm:f>$Q$12</xm:f>
            <x14:dxf>
              <fill>
                <patternFill>
                  <bgColor rgb="FF00B050"/>
                </patternFill>
              </fill>
            </x14:dxf>
          </x14:cfRule>
          <x14:cfRule type="containsText" priority="5016" operator="containsText" id="{D07571C1-2D71-49C3-BA34-6A6DC094F5B3}">
            <xm:f>NOT(ISERROR(SEARCH($Q$12,Q532)))</xm:f>
            <xm:f>$Q$12</xm:f>
            <x14:dxf>
              <fill>
                <patternFill>
                  <bgColor theme="9" tint="0.39994506668294322"/>
                </patternFill>
              </fill>
            </x14:dxf>
          </x14:cfRule>
          <x14:cfRule type="containsText" priority="5015" operator="containsText" id="{D2736949-0FC2-4F78-9708-4D0556B71357}">
            <xm:f>NOT(ISERROR(SEARCH($Q$12,Q532)))</xm:f>
            <xm:f>$Q$12</xm:f>
            <x14:dxf>
              <fill>
                <patternFill>
                  <bgColor theme="9" tint="0.79998168889431442"/>
                </patternFill>
              </fill>
            </x14:dxf>
          </x14:cfRule>
          <x14:cfRule type="containsText" priority="5014" operator="containsText" id="{FD495536-34EF-4170-AB89-06B2AE600335}">
            <xm:f>NOT(ISERROR(SEARCH($Q$12,Q532)))</xm:f>
            <xm:f>$Q$12</xm:f>
            <x14:dxf>
              <fill>
                <patternFill>
                  <bgColor rgb="FFFFFF00"/>
                </patternFill>
              </fill>
            </x14:dxf>
          </x14:cfRule>
          <x14:cfRule type="containsText" priority="5024" operator="containsText" id="{1DDB0F38-B110-4F57-8DA3-F8186583EB3C}">
            <xm:f>NOT(ISERROR(SEARCH($Q$12,Q532)))</xm:f>
            <xm:f>$Q$12</xm:f>
            <x14:dxf>
              <fill>
                <patternFill>
                  <bgColor rgb="FFFFFF00"/>
                </patternFill>
              </fill>
            </x14:dxf>
          </x14:cfRule>
          <x14:cfRule type="containsText" priority="5023" operator="containsText" id="{039B1F48-8583-4638-A189-257B87634647}">
            <xm:f>NOT(ISERROR(SEARCH($Q$12,Q532)))</xm:f>
            <xm:f>$Q$12</xm:f>
            <x14:dxf>
              <fill>
                <patternFill>
                  <bgColor theme="9"/>
                </patternFill>
              </fill>
            </x14:dxf>
          </x14:cfRule>
          <x14:cfRule type="containsText" priority="5025" operator="containsText" id="{1F1CBC01-4FEB-4732-AC26-781A2260043C}">
            <xm:f>NOT(ISERROR(SEARCH($Q$12,Q532)))</xm:f>
            <xm:f>$Q$12</xm:f>
            <x14:dxf>
              <fill>
                <patternFill>
                  <bgColor rgb="FFFFC000"/>
                </patternFill>
              </fill>
            </x14:dxf>
          </x14:cfRule>
          <x14:cfRule type="containsText" priority="5026" operator="containsText" id="{DFAC5A62-F339-4657-BB24-5685336285D4}">
            <xm:f>NOT(ISERROR(SEARCH($Q$12,Q532)))</xm:f>
            <xm:f>$Q$12</xm:f>
            <x14:dxf>
              <fill>
                <patternFill>
                  <bgColor rgb="FFFF0000"/>
                </patternFill>
              </fill>
            </x14:dxf>
          </x14:cfRule>
          <x14:cfRule type="containsText" priority="5020" operator="containsText" id="{7B31B1AD-CCCB-4739-A2A1-9211F10EE96A}">
            <xm:f>NOT(ISERROR(SEARCH($Q$12,Q532)))</xm:f>
            <xm:f>$Q$12</xm:f>
            <x14:dxf>
              <fill>
                <patternFill>
                  <bgColor rgb="FFFFC000"/>
                </patternFill>
              </fill>
            </x14:dxf>
          </x14:cfRule>
          <x14:cfRule type="containsText" priority="5022" operator="containsText" id="{4FA24E1E-DDA4-4F50-ADC7-01F04D6B1A9F}">
            <xm:f>NOT(ISERROR(SEARCH($Q$12,Q532)))</xm:f>
            <xm:f>$Q$12</xm:f>
            <x14:dxf>
              <fill>
                <patternFill>
                  <bgColor theme="9" tint="0.59996337778862885"/>
                </patternFill>
              </fill>
            </x14:dxf>
          </x14:cfRule>
          <x14:cfRule type="containsText" priority="5021" operator="containsText" id="{D3860BBA-E1BA-45F7-B2B7-C6A336433DDF}">
            <xm:f>NOT(ISERROR(SEARCH($Q$12,Q532)))</xm:f>
            <xm:f>$Q$12</xm:f>
            <x14:dxf>
              <fill>
                <patternFill>
                  <bgColor rgb="FFFF0000"/>
                </patternFill>
              </fill>
            </x14:dxf>
          </x14:cfRule>
          <xm:sqref>Q532</xm:sqref>
        </x14:conditionalFormatting>
        <x14:conditionalFormatting xmlns:xm="http://schemas.microsoft.com/office/excel/2006/main">
          <x14:cfRule type="containsText" priority="4931" operator="containsText" id="{5BDD089C-1F31-481A-AF5E-DD616289DF9A}">
            <xm:f>NOT(ISERROR(SEARCH($Q$12,Q542)))</xm:f>
            <xm:f>$Q$12</xm:f>
            <x14:dxf>
              <fill>
                <patternFill>
                  <bgColor rgb="FFFFFF00"/>
                </patternFill>
              </fill>
            </x14:dxf>
          </x14:cfRule>
          <x14:cfRule type="containsText" priority="4939" operator="containsText" id="{F8AC29F0-2E6F-4107-9DDD-E8846651E95D}">
            <xm:f>NOT(ISERROR(SEARCH($Q$12,Q542)))</xm:f>
            <xm:f>$Q$12</xm:f>
            <x14:dxf>
              <fill>
                <patternFill>
                  <bgColor theme="9" tint="0.59996337778862885"/>
                </patternFill>
              </fill>
            </x14:dxf>
          </x14:cfRule>
          <x14:cfRule type="containsText" priority="4932" operator="containsText" id="{67B88B36-A1B9-4278-A334-25A94897D663}">
            <xm:f>NOT(ISERROR(SEARCH($Q$12,Q542)))</xm:f>
            <xm:f>$Q$12</xm:f>
            <x14:dxf>
              <fill>
                <patternFill>
                  <bgColor theme="9" tint="0.79998168889431442"/>
                </patternFill>
              </fill>
            </x14:dxf>
          </x14:cfRule>
          <x14:cfRule type="containsText" priority="4933" operator="containsText" id="{7F004AE2-2022-4312-9075-CD134E35A465}">
            <xm:f>NOT(ISERROR(SEARCH($Q$12,Q542)))</xm:f>
            <xm:f>$Q$12</xm:f>
            <x14:dxf>
              <fill>
                <patternFill>
                  <bgColor theme="9" tint="0.39994506668294322"/>
                </patternFill>
              </fill>
            </x14:dxf>
          </x14:cfRule>
          <x14:cfRule type="containsText" priority="4934" operator="containsText" id="{B5A58165-5AD1-4D02-9E06-896F4D1EA869}">
            <xm:f>NOT(ISERROR(SEARCH($Q$12,Q542)))</xm:f>
            <xm:f>$Q$12</xm:f>
            <x14:dxf>
              <fill>
                <patternFill>
                  <bgColor rgb="FF00B050"/>
                </patternFill>
              </fill>
            </x14:dxf>
          </x14:cfRule>
          <x14:cfRule type="containsText" priority="4935" operator="containsText" id="{246A517C-4A90-4F0C-93BD-26745B5D018C}">
            <xm:f>NOT(ISERROR(SEARCH($Q$12,Q542)))</xm:f>
            <xm:f>$Q$12</xm:f>
            <x14:dxf/>
          </x14:cfRule>
          <x14:cfRule type="containsText" priority="4936" operator="containsText" id="{D481C024-7C8A-43D2-8DFD-5BAE55064231}">
            <xm:f>NOT(ISERROR(SEARCH($Q$12,Q542)))</xm:f>
            <xm:f>$Q$12</xm:f>
            <x14:dxf>
              <fill>
                <patternFill>
                  <bgColor rgb="FFFFFF00"/>
                </patternFill>
              </fill>
            </x14:dxf>
          </x14:cfRule>
          <x14:cfRule type="containsText" priority="4937" operator="containsText" id="{D4AADCD7-1F3B-4B0C-9428-290773563EA3}">
            <xm:f>NOT(ISERROR(SEARCH($Q$12,Q542)))</xm:f>
            <xm:f>$Q$12</xm:f>
            <x14:dxf>
              <fill>
                <patternFill>
                  <bgColor rgb="FFFFC000"/>
                </patternFill>
              </fill>
            </x14:dxf>
          </x14:cfRule>
          <x14:cfRule type="containsText" priority="4938" operator="containsText" id="{90EFC172-8AC6-4E8C-A53D-EF701FEE115D}">
            <xm:f>NOT(ISERROR(SEARCH($Q$12,Q542)))</xm:f>
            <xm:f>$Q$12</xm:f>
            <x14:dxf>
              <fill>
                <patternFill>
                  <bgColor rgb="FFFF0000"/>
                </patternFill>
              </fill>
            </x14:dxf>
          </x14:cfRule>
          <x14:cfRule type="containsText" priority="4940" operator="containsText" id="{726DB642-4BD8-4407-BA82-061D4C6973C2}">
            <xm:f>NOT(ISERROR(SEARCH($Q$12,Q542)))</xm:f>
            <xm:f>$Q$12</xm:f>
            <x14:dxf>
              <fill>
                <patternFill>
                  <bgColor theme="9"/>
                </patternFill>
              </fill>
            </x14:dxf>
          </x14:cfRule>
          <x14:cfRule type="containsText" priority="4941" operator="containsText" id="{78920B4F-3C3A-4A16-8D7F-F25DDF7DE739}">
            <xm:f>NOT(ISERROR(SEARCH($Q$12,Q542)))</xm:f>
            <xm:f>$Q$12</xm:f>
            <x14:dxf>
              <fill>
                <patternFill>
                  <bgColor rgb="FFFFFF00"/>
                </patternFill>
              </fill>
            </x14:dxf>
          </x14:cfRule>
          <x14:cfRule type="containsText" priority="4942" operator="containsText" id="{1CCF92C4-8A7B-4540-8835-BD9EBCAB62E9}">
            <xm:f>NOT(ISERROR(SEARCH($Q$12,Q542)))</xm:f>
            <xm:f>$Q$12</xm:f>
            <x14:dxf>
              <fill>
                <patternFill>
                  <bgColor rgb="FFFFC000"/>
                </patternFill>
              </fill>
            </x14:dxf>
          </x14:cfRule>
          <x14:cfRule type="containsText" priority="4943" operator="containsText" id="{22C77FD2-0EAC-48F3-BF79-D45D8BB9013D}">
            <xm:f>NOT(ISERROR(SEARCH($Q$12,Q542)))</xm:f>
            <xm:f>$Q$12</xm:f>
            <x14:dxf>
              <fill>
                <patternFill>
                  <bgColor rgb="FFFF0000"/>
                </patternFill>
              </fill>
            </x14:dxf>
          </x14:cfRule>
          <xm:sqref>Q542</xm:sqref>
        </x14:conditionalFormatting>
        <x14:conditionalFormatting xmlns:xm="http://schemas.microsoft.com/office/excel/2006/main">
          <x14:cfRule type="containsText" priority="4779" operator="containsText" id="{6BFC2AD2-5881-4D7F-AB11-08D9F1C8EC3F}">
            <xm:f>NOT(ISERROR(SEARCH($Q$12,Q552)))</xm:f>
            <xm:f>$Q$12</xm:f>
            <x14:dxf>
              <fill>
                <patternFill>
                  <bgColor theme="9" tint="0.39994506668294322"/>
                </patternFill>
              </fill>
            </x14:dxf>
          </x14:cfRule>
          <x14:cfRule type="containsText" priority="4783" operator="containsText" id="{EE634110-001B-4A75-B470-ADA3F81F88A7}">
            <xm:f>NOT(ISERROR(SEARCH($Q$12,Q552)))</xm:f>
            <xm:f>$Q$12</xm:f>
            <x14:dxf>
              <fill>
                <patternFill>
                  <bgColor rgb="FFFFC000"/>
                </patternFill>
              </fill>
            </x14:dxf>
          </x14:cfRule>
          <x14:cfRule type="containsText" priority="4782" operator="containsText" id="{68110F63-07FD-4B45-A2C1-3D4C9316A625}">
            <xm:f>NOT(ISERROR(SEARCH($Q$12,Q552)))</xm:f>
            <xm:f>$Q$12</xm:f>
            <x14:dxf>
              <fill>
                <patternFill>
                  <bgColor rgb="FFFFFF00"/>
                </patternFill>
              </fill>
            </x14:dxf>
          </x14:cfRule>
          <x14:cfRule type="containsText" priority="4781" operator="containsText" id="{ECFA2912-C324-4794-B9EB-53BC58B5F3E1}">
            <xm:f>NOT(ISERROR(SEARCH($Q$12,Q552)))</xm:f>
            <xm:f>$Q$12</xm:f>
            <x14:dxf/>
          </x14:cfRule>
          <x14:cfRule type="containsText" priority="4780" operator="containsText" id="{03017AC7-E849-4A9F-9CAC-E62531FF811A}">
            <xm:f>NOT(ISERROR(SEARCH($Q$12,Q552)))</xm:f>
            <xm:f>$Q$12</xm:f>
            <x14:dxf>
              <fill>
                <patternFill>
                  <bgColor rgb="FF00B050"/>
                </patternFill>
              </fill>
            </x14:dxf>
          </x14:cfRule>
          <x14:cfRule type="containsText" priority="4778" operator="containsText" id="{A00CA5E4-4E87-435F-BA4E-B9B4AA012057}">
            <xm:f>NOT(ISERROR(SEARCH($Q$12,Q552)))</xm:f>
            <xm:f>$Q$12</xm:f>
            <x14:dxf>
              <fill>
                <patternFill>
                  <bgColor theme="9" tint="0.79998168889431442"/>
                </patternFill>
              </fill>
            </x14:dxf>
          </x14:cfRule>
          <x14:cfRule type="containsText" priority="4788" operator="containsText" id="{667EB060-FA22-4B15-9C2F-27110945443D}">
            <xm:f>NOT(ISERROR(SEARCH($Q$12,Q552)))</xm:f>
            <xm:f>$Q$12</xm:f>
            <x14:dxf>
              <fill>
                <patternFill>
                  <bgColor rgb="FFFFC000"/>
                </patternFill>
              </fill>
            </x14:dxf>
          </x14:cfRule>
          <x14:cfRule type="containsText" priority="4789" operator="containsText" id="{2D381E70-355E-485F-98D4-8F84024A6BCC}">
            <xm:f>NOT(ISERROR(SEARCH($Q$12,Q552)))</xm:f>
            <xm:f>$Q$12</xm:f>
            <x14:dxf>
              <fill>
                <patternFill>
                  <bgColor rgb="FFFF0000"/>
                </patternFill>
              </fill>
            </x14:dxf>
          </x14:cfRule>
          <x14:cfRule type="containsText" priority="4787" operator="containsText" id="{AC184FAE-0A9B-4C39-BD49-766AA0887866}">
            <xm:f>NOT(ISERROR(SEARCH($Q$12,Q552)))</xm:f>
            <xm:f>$Q$12</xm:f>
            <x14:dxf>
              <fill>
                <patternFill>
                  <bgColor rgb="FFFFFF00"/>
                </patternFill>
              </fill>
            </x14:dxf>
          </x14:cfRule>
          <x14:cfRule type="containsText" priority="4786" operator="containsText" id="{AE156273-0F76-43CA-A48E-A583D0ABF597}">
            <xm:f>NOT(ISERROR(SEARCH($Q$12,Q552)))</xm:f>
            <xm:f>$Q$12</xm:f>
            <x14:dxf>
              <fill>
                <patternFill>
                  <bgColor theme="9"/>
                </patternFill>
              </fill>
            </x14:dxf>
          </x14:cfRule>
          <x14:cfRule type="containsText" priority="4785" operator="containsText" id="{FCBCDDC0-E862-49CE-80B9-087AB8F59F90}">
            <xm:f>NOT(ISERROR(SEARCH($Q$12,Q552)))</xm:f>
            <xm:f>$Q$12</xm:f>
            <x14:dxf>
              <fill>
                <patternFill>
                  <bgColor theme="9" tint="0.59996337778862885"/>
                </patternFill>
              </fill>
            </x14:dxf>
          </x14:cfRule>
          <x14:cfRule type="containsText" priority="4784" operator="containsText" id="{8D554BA2-E633-4E2B-AA03-49625D4359AD}">
            <xm:f>NOT(ISERROR(SEARCH($Q$12,Q552)))</xm:f>
            <xm:f>$Q$12</xm:f>
            <x14:dxf>
              <fill>
                <patternFill>
                  <bgColor rgb="FFFF0000"/>
                </patternFill>
              </fill>
            </x14:dxf>
          </x14:cfRule>
          <x14:cfRule type="containsText" priority="4777" operator="containsText" id="{B03A03E7-6A9B-4435-8674-185E56147C61}">
            <xm:f>NOT(ISERROR(SEARCH($Q$12,Q552)))</xm:f>
            <xm:f>$Q$12</xm:f>
            <x14:dxf>
              <fill>
                <patternFill>
                  <bgColor rgb="FFFFFF00"/>
                </patternFill>
              </fill>
            </x14:dxf>
          </x14:cfRule>
          <xm:sqref>Q552</xm:sqref>
        </x14:conditionalFormatting>
        <x14:conditionalFormatting xmlns:xm="http://schemas.microsoft.com/office/excel/2006/main">
          <x14:cfRule type="containsText" priority="4656" operator="containsText" id="{792184A7-DC42-4349-AB54-737D48B6FAEB}">
            <xm:f>NOT(ISERROR(SEARCH($Q$12,Q562)))</xm:f>
            <xm:f>$Q$12</xm:f>
            <x14:dxf>
              <fill>
                <patternFill>
                  <bgColor rgb="FFFF0000"/>
                </patternFill>
              </fill>
            </x14:dxf>
          </x14:cfRule>
          <x14:cfRule type="containsText" priority="4657" operator="containsText" id="{32BD51C9-A32B-4E72-BD26-1D500F82896B}">
            <xm:f>NOT(ISERROR(SEARCH($Q$12,Q562)))</xm:f>
            <xm:f>$Q$12</xm:f>
            <x14:dxf>
              <fill>
                <patternFill>
                  <bgColor theme="9" tint="0.59996337778862885"/>
                </patternFill>
              </fill>
            </x14:dxf>
          </x14:cfRule>
          <x14:cfRule type="containsText" priority="4658" operator="containsText" id="{C7F26E27-0E48-452B-8861-1AFF0AE81172}">
            <xm:f>NOT(ISERROR(SEARCH($Q$12,Q562)))</xm:f>
            <xm:f>$Q$12</xm:f>
            <x14:dxf>
              <fill>
                <patternFill>
                  <bgColor theme="9"/>
                </patternFill>
              </fill>
            </x14:dxf>
          </x14:cfRule>
          <x14:cfRule type="containsText" priority="4655" operator="containsText" id="{99318782-7F19-4621-ACB0-04DD80AF16ED}">
            <xm:f>NOT(ISERROR(SEARCH($Q$12,Q562)))</xm:f>
            <xm:f>$Q$12</xm:f>
            <x14:dxf>
              <fill>
                <patternFill>
                  <bgColor rgb="FFFFC000"/>
                </patternFill>
              </fill>
            </x14:dxf>
          </x14:cfRule>
          <x14:cfRule type="containsText" priority="4660" operator="containsText" id="{36CF2D74-7925-4347-9F1D-F54F4A604856}">
            <xm:f>NOT(ISERROR(SEARCH($Q$12,Q562)))</xm:f>
            <xm:f>$Q$12</xm:f>
            <x14:dxf>
              <fill>
                <patternFill>
                  <bgColor rgb="FFFFC000"/>
                </patternFill>
              </fill>
            </x14:dxf>
          </x14:cfRule>
          <x14:cfRule type="containsText" priority="4661" operator="containsText" id="{41674B46-67BD-4299-B059-8056AC1AB74D}">
            <xm:f>NOT(ISERROR(SEARCH($Q$12,Q562)))</xm:f>
            <xm:f>$Q$12</xm:f>
            <x14:dxf>
              <fill>
                <patternFill>
                  <bgColor rgb="FFFF0000"/>
                </patternFill>
              </fill>
            </x14:dxf>
          </x14:cfRule>
          <x14:cfRule type="containsText" priority="4659" operator="containsText" id="{8AD16F05-5224-4072-99ED-E9615D6928FA}">
            <xm:f>NOT(ISERROR(SEARCH($Q$12,Q562)))</xm:f>
            <xm:f>$Q$12</xm:f>
            <x14:dxf>
              <fill>
                <patternFill>
                  <bgColor rgb="FFFFFF00"/>
                </patternFill>
              </fill>
            </x14:dxf>
          </x14:cfRule>
          <x14:cfRule type="containsText" priority="4652" operator="containsText" id="{D947B2EE-4997-41CA-A887-C10CA6AA79C3}">
            <xm:f>NOT(ISERROR(SEARCH($Q$12,Q562)))</xm:f>
            <xm:f>$Q$12</xm:f>
            <x14:dxf>
              <fill>
                <patternFill>
                  <bgColor rgb="FF00B050"/>
                </patternFill>
              </fill>
            </x14:dxf>
          </x14:cfRule>
          <x14:cfRule type="containsText" priority="4653" operator="containsText" id="{7AE46C8F-C827-4969-8044-7BDB1B38C0C9}">
            <xm:f>NOT(ISERROR(SEARCH($Q$12,Q562)))</xm:f>
            <xm:f>$Q$12</xm:f>
            <x14:dxf/>
          </x14:cfRule>
          <x14:cfRule type="containsText" priority="4654" operator="containsText" id="{CC3E17A9-34EE-4E12-8FC0-3879FC027B0B}">
            <xm:f>NOT(ISERROR(SEARCH($Q$12,Q562)))</xm:f>
            <xm:f>$Q$12</xm:f>
            <x14:dxf>
              <fill>
                <patternFill>
                  <bgColor rgb="FFFFFF00"/>
                </patternFill>
              </fill>
            </x14:dxf>
          </x14:cfRule>
          <x14:cfRule type="containsText" priority="4649" operator="containsText" id="{50D6987B-D7A5-4EFE-87E8-530B46A64B11}">
            <xm:f>NOT(ISERROR(SEARCH($Q$12,Q562)))</xm:f>
            <xm:f>$Q$12</xm:f>
            <x14:dxf>
              <fill>
                <patternFill>
                  <bgColor rgb="FFFFFF00"/>
                </patternFill>
              </fill>
            </x14:dxf>
          </x14:cfRule>
          <x14:cfRule type="containsText" priority="4650" operator="containsText" id="{163B8DDE-CDC4-4FB0-B4A4-18BAB70B752E}">
            <xm:f>NOT(ISERROR(SEARCH($Q$12,Q562)))</xm:f>
            <xm:f>$Q$12</xm:f>
            <x14:dxf>
              <fill>
                <patternFill>
                  <bgColor theme="9" tint="0.79998168889431442"/>
                </patternFill>
              </fill>
            </x14:dxf>
          </x14:cfRule>
          <x14:cfRule type="containsText" priority="4651" operator="containsText" id="{6C4140DC-9B15-4445-AAD3-1ED495E45DF3}">
            <xm:f>NOT(ISERROR(SEARCH($Q$12,Q562)))</xm:f>
            <xm:f>$Q$12</xm:f>
            <x14:dxf>
              <fill>
                <patternFill>
                  <bgColor theme="9" tint="0.39994506668294322"/>
                </patternFill>
              </fill>
            </x14:dxf>
          </x14:cfRule>
          <xm:sqref>Q562</xm:sqref>
        </x14:conditionalFormatting>
        <x14:conditionalFormatting xmlns:xm="http://schemas.microsoft.com/office/excel/2006/main">
          <x14:cfRule type="containsText" priority="4607" operator="containsText" id="{15365C04-87B0-45C4-B0CB-979FF3C7CC89}">
            <xm:f>NOT(ISERROR(SEARCH($Q$12,Q572)))</xm:f>
            <xm:f>$Q$12</xm:f>
            <x14:dxf>
              <fill>
                <patternFill>
                  <bgColor rgb="FFFFC000"/>
                </patternFill>
              </fill>
            </x14:dxf>
          </x14:cfRule>
          <x14:cfRule type="containsText" priority="4608" operator="containsText" id="{1B19071B-B8F5-465F-BD7C-DA5F92F3755C}">
            <xm:f>NOT(ISERROR(SEARCH($Q$12,Q572)))</xm:f>
            <xm:f>$Q$12</xm:f>
            <x14:dxf>
              <fill>
                <patternFill>
                  <bgColor rgb="FFFF0000"/>
                </patternFill>
              </fill>
            </x14:dxf>
          </x14:cfRule>
          <x14:cfRule type="containsText" priority="4609" operator="containsText" id="{16A719E7-12B4-425D-9113-16115C7E6011}">
            <xm:f>NOT(ISERROR(SEARCH($Q$12,Q572)))</xm:f>
            <xm:f>$Q$12</xm:f>
            <x14:dxf>
              <fill>
                <patternFill>
                  <bgColor theme="9" tint="0.59996337778862885"/>
                </patternFill>
              </fill>
            </x14:dxf>
          </x14:cfRule>
          <x14:cfRule type="containsText" priority="4610" operator="containsText" id="{1F6083E2-4248-4F23-AE52-1A0B7D7C37E4}">
            <xm:f>NOT(ISERROR(SEARCH($Q$12,Q572)))</xm:f>
            <xm:f>$Q$12</xm:f>
            <x14:dxf>
              <fill>
                <patternFill>
                  <bgColor theme="9"/>
                </patternFill>
              </fill>
            </x14:dxf>
          </x14:cfRule>
          <x14:cfRule type="containsText" priority="4612" operator="containsText" id="{FCEC9E34-983C-4D5D-AA3B-F56435EBFD51}">
            <xm:f>NOT(ISERROR(SEARCH($Q$12,Q572)))</xm:f>
            <xm:f>$Q$12</xm:f>
            <x14:dxf>
              <fill>
                <patternFill>
                  <bgColor rgb="FFFFC000"/>
                </patternFill>
              </fill>
            </x14:dxf>
          </x14:cfRule>
          <x14:cfRule type="containsText" priority="4613" operator="containsText" id="{1F7B88C6-0367-4BA7-8A82-25C44B529DDE}">
            <xm:f>NOT(ISERROR(SEARCH($Q$12,Q572)))</xm:f>
            <xm:f>$Q$12</xm:f>
            <x14:dxf>
              <fill>
                <patternFill>
                  <bgColor rgb="FFFF0000"/>
                </patternFill>
              </fill>
            </x14:dxf>
          </x14:cfRule>
          <x14:cfRule type="containsText" priority="4611" operator="containsText" id="{BFF91B76-9C73-4B69-A03A-21D6E64ED017}">
            <xm:f>NOT(ISERROR(SEARCH($Q$12,Q572)))</xm:f>
            <xm:f>$Q$12</xm:f>
            <x14:dxf>
              <fill>
                <patternFill>
                  <bgColor rgb="FFFFFF00"/>
                </patternFill>
              </fill>
            </x14:dxf>
          </x14:cfRule>
          <x14:cfRule type="containsText" priority="4601" operator="containsText" id="{15DBBC39-821D-4733-979B-A3BFB181388B}">
            <xm:f>NOT(ISERROR(SEARCH($Q$12,Q572)))</xm:f>
            <xm:f>$Q$12</xm:f>
            <x14:dxf>
              <fill>
                <patternFill>
                  <bgColor rgb="FFFFFF00"/>
                </patternFill>
              </fill>
            </x14:dxf>
          </x14:cfRule>
          <x14:cfRule type="containsText" priority="4602" operator="containsText" id="{60EEC1B6-51B2-4771-948F-4D05C40080C0}">
            <xm:f>NOT(ISERROR(SEARCH($Q$12,Q572)))</xm:f>
            <xm:f>$Q$12</xm:f>
            <x14:dxf>
              <fill>
                <patternFill>
                  <bgColor theme="9" tint="0.79998168889431442"/>
                </patternFill>
              </fill>
            </x14:dxf>
          </x14:cfRule>
          <x14:cfRule type="containsText" priority="4603" operator="containsText" id="{8A76EC4B-881B-4D13-A3BE-4328B490F94B}">
            <xm:f>NOT(ISERROR(SEARCH($Q$12,Q572)))</xm:f>
            <xm:f>$Q$12</xm:f>
            <x14:dxf>
              <fill>
                <patternFill>
                  <bgColor theme="9" tint="0.39994506668294322"/>
                </patternFill>
              </fill>
            </x14:dxf>
          </x14:cfRule>
          <x14:cfRule type="containsText" priority="4604" operator="containsText" id="{6B2596E2-363E-4660-AB78-7D39AEF68496}">
            <xm:f>NOT(ISERROR(SEARCH($Q$12,Q572)))</xm:f>
            <xm:f>$Q$12</xm:f>
            <x14:dxf>
              <fill>
                <patternFill>
                  <bgColor rgb="FF00B050"/>
                </patternFill>
              </fill>
            </x14:dxf>
          </x14:cfRule>
          <x14:cfRule type="containsText" priority="4605" operator="containsText" id="{3BFF9FFD-ABA5-40DE-AA80-97E84E4BFFD9}">
            <xm:f>NOT(ISERROR(SEARCH($Q$12,Q572)))</xm:f>
            <xm:f>$Q$12</xm:f>
            <x14:dxf/>
          </x14:cfRule>
          <x14:cfRule type="containsText" priority="4606" operator="containsText" id="{6A905A3A-9210-4B9D-B1D7-4F24DF147C83}">
            <xm:f>NOT(ISERROR(SEARCH($Q$12,Q572)))</xm:f>
            <xm:f>$Q$12</xm:f>
            <x14:dxf>
              <fill>
                <patternFill>
                  <bgColor rgb="FFFFFF00"/>
                </patternFill>
              </fill>
            </x14:dxf>
          </x14:cfRule>
          <xm:sqref>Q572</xm:sqref>
        </x14:conditionalFormatting>
        <x14:conditionalFormatting xmlns:xm="http://schemas.microsoft.com/office/excel/2006/main">
          <x14:cfRule type="containsText" priority="4427" operator="containsText" id="{5963EFBF-AB85-44B7-A37D-FA2E66AEA800}">
            <xm:f>NOT(ISERROR(SEARCH($Q$12,Q582)))</xm:f>
            <xm:f>$Q$12</xm:f>
            <x14:dxf>
              <fill>
                <patternFill>
                  <bgColor rgb="FFFF0000"/>
                </patternFill>
              </fill>
            </x14:dxf>
          </x14:cfRule>
          <x14:cfRule type="containsText" priority="4426" operator="containsText" id="{A05A075F-2033-4CDA-97F7-A25F23A83501}">
            <xm:f>NOT(ISERROR(SEARCH($Q$12,Q582)))</xm:f>
            <xm:f>$Q$12</xm:f>
            <x14:dxf>
              <fill>
                <patternFill>
                  <bgColor rgb="FFFFC000"/>
                </patternFill>
              </fill>
            </x14:dxf>
          </x14:cfRule>
          <x14:cfRule type="containsText" priority="4425" operator="containsText" id="{0CAD6012-93CD-4395-A2A2-1B9CD270DC71}">
            <xm:f>NOT(ISERROR(SEARCH($Q$12,Q582)))</xm:f>
            <xm:f>$Q$12</xm:f>
            <x14:dxf>
              <fill>
                <patternFill>
                  <bgColor rgb="FFFFFF00"/>
                </patternFill>
              </fill>
            </x14:dxf>
          </x14:cfRule>
          <x14:cfRule type="containsText" priority="4422" operator="containsText" id="{5CF1BC83-6B65-4F55-9B79-2CC582E617FC}">
            <xm:f>NOT(ISERROR(SEARCH($Q$12,Q582)))</xm:f>
            <xm:f>$Q$12</xm:f>
            <x14:dxf>
              <fill>
                <patternFill>
                  <bgColor rgb="FFFF0000"/>
                </patternFill>
              </fill>
            </x14:dxf>
          </x14:cfRule>
          <x14:cfRule type="containsText" priority="4423" operator="containsText" id="{3F458226-40E4-453C-8D23-DA8903AB1AB6}">
            <xm:f>NOT(ISERROR(SEARCH($Q$12,Q582)))</xm:f>
            <xm:f>$Q$12</xm:f>
            <x14:dxf>
              <fill>
                <patternFill>
                  <bgColor theme="9" tint="0.59996337778862885"/>
                </patternFill>
              </fill>
            </x14:dxf>
          </x14:cfRule>
          <x14:cfRule type="containsText" priority="4424" operator="containsText" id="{90E29761-8A70-4859-825B-6D1A4399C867}">
            <xm:f>NOT(ISERROR(SEARCH($Q$12,Q582)))</xm:f>
            <xm:f>$Q$12</xm:f>
            <x14:dxf>
              <fill>
                <patternFill>
                  <bgColor theme="9"/>
                </patternFill>
              </fill>
            </x14:dxf>
          </x14:cfRule>
          <x14:cfRule type="containsText" priority="4415" operator="containsText" id="{3BE5BBA0-9D7B-4910-B1BF-BE4C426EEFD0}">
            <xm:f>NOT(ISERROR(SEARCH($Q$12,Q582)))</xm:f>
            <xm:f>$Q$12</xm:f>
            <x14:dxf>
              <fill>
                <patternFill>
                  <bgColor rgb="FFFFFF00"/>
                </patternFill>
              </fill>
            </x14:dxf>
          </x14:cfRule>
          <x14:cfRule type="containsText" priority="4416" operator="containsText" id="{157B1B99-77DA-492F-8515-0E5D68E497E4}">
            <xm:f>NOT(ISERROR(SEARCH($Q$12,Q582)))</xm:f>
            <xm:f>$Q$12</xm:f>
            <x14:dxf>
              <fill>
                <patternFill>
                  <bgColor theme="9" tint="0.79998168889431442"/>
                </patternFill>
              </fill>
            </x14:dxf>
          </x14:cfRule>
          <x14:cfRule type="containsText" priority="4417" operator="containsText" id="{B0353B49-7B89-48BE-9E88-82CFE11C7835}">
            <xm:f>NOT(ISERROR(SEARCH($Q$12,Q582)))</xm:f>
            <xm:f>$Q$12</xm:f>
            <x14:dxf>
              <fill>
                <patternFill>
                  <bgColor theme="9" tint="0.39994506668294322"/>
                </patternFill>
              </fill>
            </x14:dxf>
          </x14:cfRule>
          <x14:cfRule type="containsText" priority="4418" operator="containsText" id="{F2C7AA07-309B-4212-BEB9-C5F524147089}">
            <xm:f>NOT(ISERROR(SEARCH($Q$12,Q582)))</xm:f>
            <xm:f>$Q$12</xm:f>
            <x14:dxf>
              <fill>
                <patternFill>
                  <bgColor rgb="FF00B050"/>
                </patternFill>
              </fill>
            </x14:dxf>
          </x14:cfRule>
          <x14:cfRule type="containsText" priority="4419" operator="containsText" id="{C1EBCE33-24FA-447B-8B6A-CA2F19B5DA87}">
            <xm:f>NOT(ISERROR(SEARCH($Q$12,Q582)))</xm:f>
            <xm:f>$Q$12</xm:f>
            <x14:dxf/>
          </x14:cfRule>
          <x14:cfRule type="containsText" priority="4420" operator="containsText" id="{B3636EA2-79F2-487D-93CA-15F90EBB703E}">
            <xm:f>NOT(ISERROR(SEARCH($Q$12,Q582)))</xm:f>
            <xm:f>$Q$12</xm:f>
            <x14:dxf>
              <fill>
                <patternFill>
                  <bgColor rgb="FFFFFF00"/>
                </patternFill>
              </fill>
            </x14:dxf>
          </x14:cfRule>
          <x14:cfRule type="containsText" priority="4421" operator="containsText" id="{FCE02ED8-95AF-4B93-8DDD-3556999EE69B}">
            <xm:f>NOT(ISERROR(SEARCH($Q$12,Q582)))</xm:f>
            <xm:f>$Q$12</xm:f>
            <x14:dxf>
              <fill>
                <patternFill>
                  <bgColor rgb="FFFFC000"/>
                </patternFill>
              </fill>
            </x14:dxf>
          </x14:cfRule>
          <xm:sqref>Q582</xm:sqref>
        </x14:conditionalFormatting>
        <x14:conditionalFormatting xmlns:xm="http://schemas.microsoft.com/office/excel/2006/main">
          <x14:cfRule type="containsText" priority="4379" operator="containsText" id="{33B08C09-2C2C-431C-B289-7683B887B978}">
            <xm:f>NOT(ISERROR(SEARCH($Q$12,Q592)))</xm:f>
            <xm:f>$Q$12</xm:f>
            <x14:dxf>
              <fill>
                <patternFill>
                  <bgColor rgb="FFFF0000"/>
                </patternFill>
              </fill>
            </x14:dxf>
          </x14:cfRule>
          <x14:cfRule type="containsText" priority="4378" operator="containsText" id="{C5E03E37-1E48-4EEF-AA7C-4722E5AA9328}">
            <xm:f>NOT(ISERROR(SEARCH($Q$12,Q592)))</xm:f>
            <xm:f>$Q$12</xm:f>
            <x14:dxf>
              <fill>
                <patternFill>
                  <bgColor rgb="FFFFC000"/>
                </patternFill>
              </fill>
            </x14:dxf>
          </x14:cfRule>
          <x14:cfRule type="containsText" priority="4377" operator="containsText" id="{8CBE4829-C844-4E95-B605-A2935E93627C}">
            <xm:f>NOT(ISERROR(SEARCH($Q$12,Q592)))</xm:f>
            <xm:f>$Q$12</xm:f>
            <x14:dxf>
              <fill>
                <patternFill>
                  <bgColor rgb="FFFFFF00"/>
                </patternFill>
              </fill>
            </x14:dxf>
          </x14:cfRule>
          <x14:cfRule type="containsText" priority="4376" operator="containsText" id="{C2E48057-686A-4C75-AA59-6208C91D26C0}">
            <xm:f>NOT(ISERROR(SEARCH($Q$12,Q592)))</xm:f>
            <xm:f>$Q$12</xm:f>
            <x14:dxf>
              <fill>
                <patternFill>
                  <bgColor theme="9"/>
                </patternFill>
              </fill>
            </x14:dxf>
          </x14:cfRule>
          <x14:cfRule type="containsText" priority="4368" operator="containsText" id="{A17ABED8-B2BC-4C0A-9A31-49931A7BC686}">
            <xm:f>NOT(ISERROR(SEARCH($Q$12,Q592)))</xm:f>
            <xm:f>$Q$12</xm:f>
            <x14:dxf>
              <fill>
                <patternFill>
                  <bgColor theme="9" tint="0.79998168889431442"/>
                </patternFill>
              </fill>
            </x14:dxf>
          </x14:cfRule>
          <x14:cfRule type="containsText" priority="4375" operator="containsText" id="{DE2F13A5-2E76-4FD5-BEFE-E75D6F551D77}">
            <xm:f>NOT(ISERROR(SEARCH($Q$12,Q592)))</xm:f>
            <xm:f>$Q$12</xm:f>
            <x14:dxf>
              <fill>
                <patternFill>
                  <bgColor theme="9" tint="0.59996337778862885"/>
                </patternFill>
              </fill>
            </x14:dxf>
          </x14:cfRule>
          <x14:cfRule type="containsText" priority="4367" operator="containsText" id="{4DE2ECE2-1FC3-4218-AC3A-2F9FA25968E6}">
            <xm:f>NOT(ISERROR(SEARCH($Q$12,Q592)))</xm:f>
            <xm:f>$Q$12</xm:f>
            <x14:dxf>
              <fill>
                <patternFill>
                  <bgColor rgb="FFFFFF00"/>
                </patternFill>
              </fill>
            </x14:dxf>
          </x14:cfRule>
          <x14:cfRule type="containsText" priority="4374" operator="containsText" id="{A7D0DF47-5C5F-48A0-9BB6-EF0BE4D5F425}">
            <xm:f>NOT(ISERROR(SEARCH($Q$12,Q592)))</xm:f>
            <xm:f>$Q$12</xm:f>
            <x14:dxf>
              <fill>
                <patternFill>
                  <bgColor rgb="FFFF0000"/>
                </patternFill>
              </fill>
            </x14:dxf>
          </x14:cfRule>
          <x14:cfRule type="containsText" priority="4373" operator="containsText" id="{8E354412-4048-42E5-B3C4-0B3FA3F9429D}">
            <xm:f>NOT(ISERROR(SEARCH($Q$12,Q592)))</xm:f>
            <xm:f>$Q$12</xm:f>
            <x14:dxf>
              <fill>
                <patternFill>
                  <bgColor rgb="FFFFC000"/>
                </patternFill>
              </fill>
            </x14:dxf>
          </x14:cfRule>
          <x14:cfRule type="containsText" priority="4371" operator="containsText" id="{87332B0C-4F55-487E-A904-A8D778683B83}">
            <xm:f>NOT(ISERROR(SEARCH($Q$12,Q592)))</xm:f>
            <xm:f>$Q$12</xm:f>
            <x14:dxf/>
          </x14:cfRule>
          <x14:cfRule type="containsText" priority="4370" operator="containsText" id="{36C8DF5A-5E9C-465D-8FA8-16E8CDC11B56}">
            <xm:f>NOT(ISERROR(SEARCH($Q$12,Q592)))</xm:f>
            <xm:f>$Q$12</xm:f>
            <x14:dxf>
              <fill>
                <patternFill>
                  <bgColor rgb="FF00B050"/>
                </patternFill>
              </fill>
            </x14:dxf>
          </x14:cfRule>
          <x14:cfRule type="containsText" priority="4369" operator="containsText" id="{DBBDAE32-0F97-4F1C-A748-72892A1DE046}">
            <xm:f>NOT(ISERROR(SEARCH($Q$12,Q592)))</xm:f>
            <xm:f>$Q$12</xm:f>
            <x14:dxf>
              <fill>
                <patternFill>
                  <bgColor theme="9" tint="0.39994506668294322"/>
                </patternFill>
              </fill>
            </x14:dxf>
          </x14:cfRule>
          <x14:cfRule type="containsText" priority="4372" operator="containsText" id="{5159A28C-B63F-4E9E-B420-19584192ADE7}">
            <xm:f>NOT(ISERROR(SEARCH($Q$12,Q592)))</xm:f>
            <xm:f>$Q$12</xm:f>
            <x14:dxf>
              <fill>
                <patternFill>
                  <bgColor rgb="FFFFFF00"/>
                </patternFill>
              </fill>
            </x14:dxf>
          </x14:cfRule>
          <xm:sqref>Q592</xm:sqref>
        </x14:conditionalFormatting>
        <x14:conditionalFormatting xmlns:xm="http://schemas.microsoft.com/office/excel/2006/main">
          <x14:cfRule type="containsText" priority="4328" operator="containsText" id="{D0587799-4013-433E-AFAA-9C4C5DBBEF47}">
            <xm:f>NOT(ISERROR(SEARCH($Q$12,Q602)))</xm:f>
            <xm:f>$Q$12</xm:f>
            <x14:dxf>
              <fill>
                <patternFill>
                  <bgColor theme="9"/>
                </patternFill>
              </fill>
            </x14:dxf>
          </x14:cfRule>
          <x14:cfRule type="containsText" priority="4329" operator="containsText" id="{2BA78D0F-9F89-4508-8E01-14DF3C8B5DE0}">
            <xm:f>NOT(ISERROR(SEARCH($Q$12,Q602)))</xm:f>
            <xm:f>$Q$12</xm:f>
            <x14:dxf>
              <fill>
                <patternFill>
                  <bgColor rgb="FFFFFF00"/>
                </patternFill>
              </fill>
            </x14:dxf>
          </x14:cfRule>
          <x14:cfRule type="containsText" priority="4324" operator="containsText" id="{56095644-756F-421D-BF85-54F02FB13B8C}">
            <xm:f>NOT(ISERROR(SEARCH($Q$12,Q602)))</xm:f>
            <xm:f>$Q$12</xm:f>
            <x14:dxf>
              <fill>
                <patternFill>
                  <bgColor rgb="FFFFFF00"/>
                </patternFill>
              </fill>
            </x14:dxf>
          </x14:cfRule>
          <x14:cfRule type="containsText" priority="4330" operator="containsText" id="{126EBC83-65CE-4977-93B0-796747290B0E}">
            <xm:f>NOT(ISERROR(SEARCH($Q$12,Q602)))</xm:f>
            <xm:f>$Q$12</xm:f>
            <x14:dxf>
              <fill>
                <patternFill>
                  <bgColor rgb="FFFFC000"/>
                </patternFill>
              </fill>
            </x14:dxf>
          </x14:cfRule>
          <x14:cfRule type="containsText" priority="4331" operator="containsText" id="{CF27D572-94BF-4575-BE16-11E0B79B751D}">
            <xm:f>NOT(ISERROR(SEARCH($Q$12,Q602)))</xm:f>
            <xm:f>$Q$12</xm:f>
            <x14:dxf>
              <fill>
                <patternFill>
                  <bgColor rgb="FFFF0000"/>
                </patternFill>
              </fill>
            </x14:dxf>
          </x14:cfRule>
          <x14:cfRule type="containsText" priority="4327" operator="containsText" id="{2496FFBA-D080-4824-806C-86888021AAA8}">
            <xm:f>NOT(ISERROR(SEARCH($Q$12,Q602)))</xm:f>
            <xm:f>$Q$12</xm:f>
            <x14:dxf>
              <fill>
                <patternFill>
                  <bgColor theme="9" tint="0.59996337778862885"/>
                </patternFill>
              </fill>
            </x14:dxf>
          </x14:cfRule>
          <x14:cfRule type="containsText" priority="4326" operator="containsText" id="{CDA1B85A-EFDA-42C9-838E-27CAE6D1646D}">
            <xm:f>NOT(ISERROR(SEARCH($Q$12,Q602)))</xm:f>
            <xm:f>$Q$12</xm:f>
            <x14:dxf>
              <fill>
                <patternFill>
                  <bgColor rgb="FFFF0000"/>
                </patternFill>
              </fill>
            </x14:dxf>
          </x14:cfRule>
          <x14:cfRule type="containsText" priority="4325" operator="containsText" id="{1CCDEB2F-7FE9-4597-A50F-5E5C7874FE53}">
            <xm:f>NOT(ISERROR(SEARCH($Q$12,Q602)))</xm:f>
            <xm:f>$Q$12</xm:f>
            <x14:dxf>
              <fill>
                <patternFill>
                  <bgColor rgb="FFFFC000"/>
                </patternFill>
              </fill>
            </x14:dxf>
          </x14:cfRule>
          <x14:cfRule type="containsText" priority="4323" operator="containsText" id="{A1039C38-5B5B-42F1-BF76-797C35FD6E7C}">
            <xm:f>NOT(ISERROR(SEARCH($Q$12,Q602)))</xm:f>
            <xm:f>$Q$12</xm:f>
            <x14:dxf/>
          </x14:cfRule>
          <x14:cfRule type="containsText" priority="4322" operator="containsText" id="{AFEE499D-11FB-4B80-ADB4-142E60484BEF}">
            <xm:f>NOT(ISERROR(SEARCH($Q$12,Q602)))</xm:f>
            <xm:f>$Q$12</xm:f>
            <x14:dxf>
              <fill>
                <patternFill>
                  <bgColor rgb="FF00B050"/>
                </patternFill>
              </fill>
            </x14:dxf>
          </x14:cfRule>
          <x14:cfRule type="containsText" priority="4321" operator="containsText" id="{300696DB-8192-4376-8984-24991BD65E92}">
            <xm:f>NOT(ISERROR(SEARCH($Q$12,Q602)))</xm:f>
            <xm:f>$Q$12</xm:f>
            <x14:dxf>
              <fill>
                <patternFill>
                  <bgColor theme="9" tint="0.39994506668294322"/>
                </patternFill>
              </fill>
            </x14:dxf>
          </x14:cfRule>
          <x14:cfRule type="containsText" priority="4320" operator="containsText" id="{2AE40F52-BC61-4DE0-91A1-60F15EF66478}">
            <xm:f>NOT(ISERROR(SEARCH($Q$12,Q602)))</xm:f>
            <xm:f>$Q$12</xm:f>
            <x14:dxf>
              <fill>
                <patternFill>
                  <bgColor theme="9" tint="0.79998168889431442"/>
                </patternFill>
              </fill>
            </x14:dxf>
          </x14:cfRule>
          <x14:cfRule type="containsText" priority="4319" operator="containsText" id="{FEB63DA0-264B-4134-8F09-D80FBB8C27D2}">
            <xm:f>NOT(ISERROR(SEARCH($Q$12,Q602)))</xm:f>
            <xm:f>$Q$12</xm:f>
            <x14:dxf>
              <fill>
                <patternFill>
                  <bgColor rgb="FFFFFF00"/>
                </patternFill>
              </fill>
            </x14:dxf>
          </x14:cfRule>
          <xm:sqref>Q602</xm:sqref>
        </x14:conditionalFormatting>
        <x14:conditionalFormatting xmlns:xm="http://schemas.microsoft.com/office/excel/2006/main">
          <x14:cfRule type="containsText" priority="4087" operator="containsText" id="{D28F4126-B5AD-4D3C-9FAB-3C3DE616EE6A}">
            <xm:f>NOT(ISERROR(SEARCH($Q$12,Q612)))</xm:f>
            <xm:f>$Q$12</xm:f>
            <x14:dxf>
              <fill>
                <patternFill>
                  <bgColor rgb="FFFFC000"/>
                </patternFill>
              </fill>
            </x14:dxf>
          </x14:cfRule>
          <x14:cfRule type="containsText" priority="4086" operator="containsText" id="{C3CF5A6D-5E2E-4885-B91E-B0620AA68343}">
            <xm:f>NOT(ISERROR(SEARCH($Q$12,Q612)))</xm:f>
            <xm:f>$Q$12</xm:f>
            <x14:dxf>
              <fill>
                <patternFill>
                  <bgColor rgb="FFFFFF00"/>
                </patternFill>
              </fill>
            </x14:dxf>
          </x14:cfRule>
          <x14:cfRule type="containsText" priority="4085" operator="containsText" id="{D452649F-EAE4-4091-B37E-22F8CAC3E6DC}">
            <xm:f>NOT(ISERROR(SEARCH($Q$12,Q612)))</xm:f>
            <xm:f>$Q$12</xm:f>
            <x14:dxf/>
          </x14:cfRule>
          <x14:cfRule type="containsText" priority="4084" operator="containsText" id="{66F7FE77-A19E-4193-AB77-2837AE1E065E}">
            <xm:f>NOT(ISERROR(SEARCH($Q$12,Q612)))</xm:f>
            <xm:f>$Q$12</xm:f>
            <x14:dxf>
              <fill>
                <patternFill>
                  <bgColor rgb="FF00B050"/>
                </patternFill>
              </fill>
            </x14:dxf>
          </x14:cfRule>
          <x14:cfRule type="containsText" priority="4083" operator="containsText" id="{B4EBEB98-1C2F-41E7-8458-2912648C12B9}">
            <xm:f>NOT(ISERROR(SEARCH($Q$12,Q612)))</xm:f>
            <xm:f>$Q$12</xm:f>
            <x14:dxf>
              <fill>
                <patternFill>
                  <bgColor theme="9" tint="0.39994506668294322"/>
                </patternFill>
              </fill>
            </x14:dxf>
          </x14:cfRule>
          <x14:cfRule type="containsText" priority="4082" operator="containsText" id="{6BCF9090-A510-4708-A841-8E9ED2F76AF9}">
            <xm:f>NOT(ISERROR(SEARCH($Q$12,Q612)))</xm:f>
            <xm:f>$Q$12</xm:f>
            <x14:dxf>
              <fill>
                <patternFill>
                  <bgColor theme="9" tint="0.79998168889431442"/>
                </patternFill>
              </fill>
            </x14:dxf>
          </x14:cfRule>
          <x14:cfRule type="containsText" priority="4081" operator="containsText" id="{A0EE0AB6-9AC7-41FB-875E-8243C7841053}">
            <xm:f>NOT(ISERROR(SEARCH($Q$12,Q612)))</xm:f>
            <xm:f>$Q$12</xm:f>
            <x14:dxf>
              <fill>
                <patternFill>
                  <bgColor rgb="FFFFFF00"/>
                </patternFill>
              </fill>
            </x14:dxf>
          </x14:cfRule>
          <x14:cfRule type="containsText" priority="4093" operator="containsText" id="{EC71636F-C661-44A2-812E-3E7DE1898A83}">
            <xm:f>NOT(ISERROR(SEARCH($Q$12,Q612)))</xm:f>
            <xm:f>$Q$12</xm:f>
            <x14:dxf>
              <fill>
                <patternFill>
                  <bgColor rgb="FFFF0000"/>
                </patternFill>
              </fill>
            </x14:dxf>
          </x14:cfRule>
          <x14:cfRule type="containsText" priority="4092" operator="containsText" id="{41480202-24F7-4516-A39B-42F41646C93E}">
            <xm:f>NOT(ISERROR(SEARCH($Q$12,Q612)))</xm:f>
            <xm:f>$Q$12</xm:f>
            <x14:dxf>
              <fill>
                <patternFill>
                  <bgColor rgb="FFFFC000"/>
                </patternFill>
              </fill>
            </x14:dxf>
          </x14:cfRule>
          <x14:cfRule type="containsText" priority="4091" operator="containsText" id="{8A266A10-377F-4319-9131-A0BDB9BF8825}">
            <xm:f>NOT(ISERROR(SEARCH($Q$12,Q612)))</xm:f>
            <xm:f>$Q$12</xm:f>
            <x14:dxf>
              <fill>
                <patternFill>
                  <bgColor rgb="FFFFFF00"/>
                </patternFill>
              </fill>
            </x14:dxf>
          </x14:cfRule>
          <x14:cfRule type="containsText" priority="4090" operator="containsText" id="{861C2ED1-63FE-4F6E-B143-872AD9844518}">
            <xm:f>NOT(ISERROR(SEARCH($Q$12,Q612)))</xm:f>
            <xm:f>$Q$12</xm:f>
            <x14:dxf>
              <fill>
                <patternFill>
                  <bgColor theme="9"/>
                </patternFill>
              </fill>
            </x14:dxf>
          </x14:cfRule>
          <x14:cfRule type="containsText" priority="4089" operator="containsText" id="{7D447F25-6343-4EFE-A46A-E4FAC7F800BE}">
            <xm:f>NOT(ISERROR(SEARCH($Q$12,Q612)))</xm:f>
            <xm:f>$Q$12</xm:f>
            <x14:dxf>
              <fill>
                <patternFill>
                  <bgColor theme="9" tint="0.59996337778862885"/>
                </patternFill>
              </fill>
            </x14:dxf>
          </x14:cfRule>
          <x14:cfRule type="containsText" priority="4088" operator="containsText" id="{54633BFB-BD3A-420A-9A48-68496F5C645A}">
            <xm:f>NOT(ISERROR(SEARCH($Q$12,Q612)))</xm:f>
            <xm:f>$Q$12</xm:f>
            <x14:dxf>
              <fill>
                <patternFill>
                  <bgColor rgb="FFFF0000"/>
                </patternFill>
              </fill>
            </x14:dxf>
          </x14:cfRule>
          <xm:sqref>Q612</xm:sqref>
        </x14:conditionalFormatting>
        <x14:conditionalFormatting xmlns:xm="http://schemas.microsoft.com/office/excel/2006/main">
          <x14:cfRule type="containsText" priority="3996" operator="containsText" id="{7AFD322C-625C-4ED5-A123-EC01917E98B2}">
            <xm:f>NOT(ISERROR(SEARCH($Q$12,Q622)))</xm:f>
            <xm:f>$Q$12</xm:f>
            <x14:dxf>
              <fill>
                <patternFill>
                  <bgColor rgb="FFFF0000"/>
                </patternFill>
              </fill>
            </x14:dxf>
          </x14:cfRule>
          <x14:cfRule type="containsText" priority="3995" operator="containsText" id="{E03A8D20-4A9D-4151-BDA7-60DC65278244}">
            <xm:f>NOT(ISERROR(SEARCH($Q$12,Q622)))</xm:f>
            <xm:f>$Q$12</xm:f>
            <x14:dxf>
              <fill>
                <patternFill>
                  <bgColor rgb="FFFFC000"/>
                </patternFill>
              </fill>
            </x14:dxf>
          </x14:cfRule>
          <x14:cfRule type="containsText" priority="3994" operator="containsText" id="{CA9BB062-1C7B-4E3C-A1D3-79EE254E7063}">
            <xm:f>NOT(ISERROR(SEARCH($Q$12,Q622)))</xm:f>
            <xm:f>$Q$12</xm:f>
            <x14:dxf>
              <fill>
                <patternFill>
                  <bgColor rgb="FFFFFF00"/>
                </patternFill>
              </fill>
            </x14:dxf>
          </x14:cfRule>
          <x14:cfRule type="containsText" priority="3993" operator="containsText" id="{45F7D931-40E7-4880-8CAF-3717F94C7CDC}">
            <xm:f>NOT(ISERROR(SEARCH($Q$12,Q622)))</xm:f>
            <xm:f>$Q$12</xm:f>
            <x14:dxf>
              <fill>
                <patternFill>
                  <bgColor theme="9"/>
                </patternFill>
              </fill>
            </x14:dxf>
          </x14:cfRule>
          <x14:cfRule type="containsText" priority="3984" operator="containsText" id="{D296D63D-389E-44AA-8230-F5B4EEFF7944}">
            <xm:f>NOT(ISERROR(SEARCH($Q$12,Q622)))</xm:f>
            <xm:f>$Q$12</xm:f>
            <x14:dxf>
              <fill>
                <patternFill>
                  <bgColor rgb="FFFFFF00"/>
                </patternFill>
              </fill>
            </x14:dxf>
          </x14:cfRule>
          <x14:cfRule type="containsText" priority="3991" operator="containsText" id="{DBF8DBC3-FBCF-4922-A985-844AF52806E6}">
            <xm:f>NOT(ISERROR(SEARCH($Q$12,Q622)))</xm:f>
            <xm:f>$Q$12</xm:f>
            <x14:dxf>
              <fill>
                <patternFill>
                  <bgColor rgb="FFFF0000"/>
                </patternFill>
              </fill>
            </x14:dxf>
          </x14:cfRule>
          <x14:cfRule type="containsText" priority="3989" operator="containsText" id="{928C482D-00D0-4B20-AF75-79992B8633B4}">
            <xm:f>NOT(ISERROR(SEARCH($Q$12,Q622)))</xm:f>
            <xm:f>$Q$12</xm:f>
            <x14:dxf>
              <fill>
                <patternFill>
                  <bgColor rgb="FFFFFF00"/>
                </patternFill>
              </fill>
            </x14:dxf>
          </x14:cfRule>
          <x14:cfRule type="containsText" priority="3988" operator="containsText" id="{AF2A162F-5523-472A-9275-1DBEE371E13F}">
            <xm:f>NOT(ISERROR(SEARCH($Q$12,Q622)))</xm:f>
            <xm:f>$Q$12</xm:f>
            <x14:dxf/>
          </x14:cfRule>
          <x14:cfRule type="containsText" priority="3987" operator="containsText" id="{6BCF89F6-8A95-4825-9FC2-BB9481E75329}">
            <xm:f>NOT(ISERROR(SEARCH($Q$12,Q622)))</xm:f>
            <xm:f>$Q$12</xm:f>
            <x14:dxf>
              <fill>
                <patternFill>
                  <bgColor rgb="FF00B050"/>
                </patternFill>
              </fill>
            </x14:dxf>
          </x14:cfRule>
          <x14:cfRule type="containsText" priority="3986" operator="containsText" id="{308668D7-9E03-41B7-BA1C-AF124FA4469C}">
            <xm:f>NOT(ISERROR(SEARCH($Q$12,Q622)))</xm:f>
            <xm:f>$Q$12</xm:f>
            <x14:dxf>
              <fill>
                <patternFill>
                  <bgColor theme="9" tint="0.39994506668294322"/>
                </patternFill>
              </fill>
            </x14:dxf>
          </x14:cfRule>
          <x14:cfRule type="containsText" priority="3985" operator="containsText" id="{C2CBF144-650B-4182-B8E2-62AFFD464308}">
            <xm:f>NOT(ISERROR(SEARCH($Q$12,Q622)))</xm:f>
            <xm:f>$Q$12</xm:f>
            <x14:dxf>
              <fill>
                <patternFill>
                  <bgColor theme="9" tint="0.79998168889431442"/>
                </patternFill>
              </fill>
            </x14:dxf>
          </x14:cfRule>
          <x14:cfRule type="containsText" priority="3990" operator="containsText" id="{1918B43D-2557-4CE0-9514-AA6C3F23FD3E}">
            <xm:f>NOT(ISERROR(SEARCH($Q$12,Q622)))</xm:f>
            <xm:f>$Q$12</xm:f>
            <x14:dxf>
              <fill>
                <patternFill>
                  <bgColor rgb="FFFFC000"/>
                </patternFill>
              </fill>
            </x14:dxf>
          </x14:cfRule>
          <x14:cfRule type="containsText" priority="3992" operator="containsText" id="{2B150958-CD31-4922-89A4-A6F97BEE5F72}">
            <xm:f>NOT(ISERROR(SEARCH($Q$12,Q622)))</xm:f>
            <xm:f>$Q$12</xm:f>
            <x14:dxf>
              <fill>
                <patternFill>
                  <bgColor theme="9" tint="0.59996337778862885"/>
                </patternFill>
              </fill>
            </x14:dxf>
          </x14:cfRule>
          <xm:sqref>Q622</xm:sqref>
        </x14:conditionalFormatting>
        <x14:conditionalFormatting xmlns:xm="http://schemas.microsoft.com/office/excel/2006/main">
          <x14:cfRule type="containsText" priority="3887" operator="containsText" id="{25FA5B4A-0FF4-4E4C-91EF-E9392F5E3D94}">
            <xm:f>NOT(ISERROR(SEARCH($Q$12,Q632)))</xm:f>
            <xm:f>$Q$12</xm:f>
            <x14:dxf>
              <fill>
                <patternFill>
                  <bgColor theme="9" tint="0.39994506668294322"/>
                </patternFill>
              </fill>
            </x14:dxf>
          </x14:cfRule>
          <x14:cfRule type="containsText" priority="3886" operator="containsText" id="{5F5F7884-467C-49FF-9E48-D91CE311D974}">
            <xm:f>NOT(ISERROR(SEARCH($Q$12,Q632)))</xm:f>
            <xm:f>$Q$12</xm:f>
            <x14:dxf>
              <fill>
                <patternFill>
                  <bgColor theme="9" tint="0.79998168889431442"/>
                </patternFill>
              </fill>
            </x14:dxf>
          </x14:cfRule>
          <x14:cfRule type="containsText" priority="3885" operator="containsText" id="{78CB77C6-6247-4C53-A598-E67A042E4046}">
            <xm:f>NOT(ISERROR(SEARCH($Q$12,Q632)))</xm:f>
            <xm:f>$Q$12</xm:f>
            <x14:dxf>
              <fill>
                <patternFill>
                  <bgColor rgb="FFFFFF00"/>
                </patternFill>
              </fill>
            </x14:dxf>
          </x14:cfRule>
          <x14:cfRule type="containsText" priority="3889" operator="containsText" id="{1F37909B-739C-469F-B5A2-2122136480A8}">
            <xm:f>NOT(ISERROR(SEARCH($Q$12,Q632)))</xm:f>
            <xm:f>$Q$12</xm:f>
            <x14:dxf/>
          </x14:cfRule>
          <x14:cfRule type="containsText" priority="3888" operator="containsText" id="{43E40437-8949-43A9-975D-ECB735DE6C6F}">
            <xm:f>NOT(ISERROR(SEARCH($Q$12,Q632)))</xm:f>
            <xm:f>$Q$12</xm:f>
            <x14:dxf>
              <fill>
                <patternFill>
                  <bgColor rgb="FF00B050"/>
                </patternFill>
              </fill>
            </x14:dxf>
          </x14:cfRule>
          <x14:cfRule type="containsText" priority="3890" operator="containsText" id="{3D94A5DB-1288-452F-9B71-4DEA7B8008FA}">
            <xm:f>NOT(ISERROR(SEARCH($Q$12,Q632)))</xm:f>
            <xm:f>$Q$12</xm:f>
            <x14:dxf>
              <fill>
                <patternFill>
                  <bgColor rgb="FFFFFF00"/>
                </patternFill>
              </fill>
            </x14:dxf>
          </x14:cfRule>
          <x14:cfRule type="containsText" priority="3896" operator="containsText" id="{E6E88C36-FE95-438D-98CB-4F102228549C}">
            <xm:f>NOT(ISERROR(SEARCH($Q$12,Q632)))</xm:f>
            <xm:f>$Q$12</xm:f>
            <x14:dxf>
              <fill>
                <patternFill>
                  <bgColor rgb="FFFFC000"/>
                </patternFill>
              </fill>
            </x14:dxf>
          </x14:cfRule>
          <x14:cfRule type="containsText" priority="3895" operator="containsText" id="{452B5C19-4863-4B57-B105-14B6CD96B3D6}">
            <xm:f>NOT(ISERROR(SEARCH($Q$12,Q632)))</xm:f>
            <xm:f>$Q$12</xm:f>
            <x14:dxf>
              <fill>
                <patternFill>
                  <bgColor rgb="FFFFFF00"/>
                </patternFill>
              </fill>
            </x14:dxf>
          </x14:cfRule>
          <x14:cfRule type="containsText" priority="3893" operator="containsText" id="{556DB554-F481-4914-AA8B-0B2ECC95E80C}">
            <xm:f>NOT(ISERROR(SEARCH($Q$12,Q632)))</xm:f>
            <xm:f>$Q$12</xm:f>
            <x14:dxf>
              <fill>
                <patternFill>
                  <bgColor theme="9" tint="0.59996337778862885"/>
                </patternFill>
              </fill>
            </x14:dxf>
          </x14:cfRule>
          <x14:cfRule type="containsText" priority="3892" operator="containsText" id="{521088E5-FAC3-479C-91F4-9BFD19DA8C88}">
            <xm:f>NOT(ISERROR(SEARCH($Q$12,Q632)))</xm:f>
            <xm:f>$Q$12</xm:f>
            <x14:dxf>
              <fill>
                <patternFill>
                  <bgColor rgb="FFFF0000"/>
                </patternFill>
              </fill>
            </x14:dxf>
          </x14:cfRule>
          <x14:cfRule type="containsText" priority="3894" operator="containsText" id="{DBB2FC49-C4DD-4374-A190-3A593D1A1B4F}">
            <xm:f>NOT(ISERROR(SEARCH($Q$12,Q632)))</xm:f>
            <xm:f>$Q$12</xm:f>
            <x14:dxf>
              <fill>
                <patternFill>
                  <bgColor theme="9"/>
                </patternFill>
              </fill>
            </x14:dxf>
          </x14:cfRule>
          <x14:cfRule type="containsText" priority="3897" operator="containsText" id="{69AA6F32-F348-4491-9528-0D2DD7139042}">
            <xm:f>NOT(ISERROR(SEARCH($Q$12,Q632)))</xm:f>
            <xm:f>$Q$12</xm:f>
            <x14:dxf>
              <fill>
                <patternFill>
                  <bgColor rgb="FFFF0000"/>
                </patternFill>
              </fill>
            </x14:dxf>
          </x14:cfRule>
          <x14:cfRule type="containsText" priority="3891" operator="containsText" id="{DB86A999-1E1A-4E0A-88AA-5F19E0C1DDFA}">
            <xm:f>NOT(ISERROR(SEARCH($Q$12,Q632)))</xm:f>
            <xm:f>$Q$12</xm:f>
            <x14:dxf>
              <fill>
                <patternFill>
                  <bgColor rgb="FFFFC000"/>
                </patternFill>
              </fill>
            </x14:dxf>
          </x14:cfRule>
          <xm:sqref>Q632</xm:sqref>
        </x14:conditionalFormatting>
        <x14:conditionalFormatting xmlns:xm="http://schemas.microsoft.com/office/excel/2006/main">
          <x14:cfRule type="containsText" priority="3841" operator="containsText" id="{E6D96CF7-3CF9-4B3A-8B81-C7CF521DA572}">
            <xm:f>NOT(ISERROR(SEARCH($Q$12,Q642)))</xm:f>
            <xm:f>$Q$12</xm:f>
            <x14:dxf/>
          </x14:cfRule>
          <x14:cfRule type="containsText" priority="3840" operator="containsText" id="{98FA97CA-4F38-41CB-881D-F6B14170701A}">
            <xm:f>NOT(ISERROR(SEARCH($Q$12,Q642)))</xm:f>
            <xm:f>$Q$12</xm:f>
            <x14:dxf>
              <fill>
                <patternFill>
                  <bgColor rgb="FF00B050"/>
                </patternFill>
              </fill>
            </x14:dxf>
          </x14:cfRule>
          <x14:cfRule type="containsText" priority="3843" operator="containsText" id="{77023DCB-631C-4532-B9BE-E7CA7D2E0A82}">
            <xm:f>NOT(ISERROR(SEARCH($Q$12,Q642)))</xm:f>
            <xm:f>$Q$12</xm:f>
            <x14:dxf>
              <fill>
                <patternFill>
                  <bgColor rgb="FFFFC000"/>
                </patternFill>
              </fill>
            </x14:dxf>
          </x14:cfRule>
          <x14:cfRule type="containsText" priority="3848" operator="containsText" id="{C5AAE88E-4299-4A4B-8BD7-78CCD9435EFE}">
            <xm:f>NOT(ISERROR(SEARCH($Q$12,Q642)))</xm:f>
            <xm:f>$Q$12</xm:f>
            <x14:dxf>
              <fill>
                <patternFill>
                  <bgColor rgb="FFFFC000"/>
                </patternFill>
              </fill>
            </x14:dxf>
          </x14:cfRule>
          <x14:cfRule type="containsText" priority="3849" operator="containsText" id="{F978AB9D-4D58-4925-8DC0-A997B1D89516}">
            <xm:f>NOT(ISERROR(SEARCH($Q$12,Q642)))</xm:f>
            <xm:f>$Q$12</xm:f>
            <x14:dxf>
              <fill>
                <patternFill>
                  <bgColor rgb="FFFF0000"/>
                </patternFill>
              </fill>
            </x14:dxf>
          </x14:cfRule>
          <x14:cfRule type="containsText" priority="3844" operator="containsText" id="{1222088F-9A72-4756-BE83-60F9FA304F0E}">
            <xm:f>NOT(ISERROR(SEARCH($Q$12,Q642)))</xm:f>
            <xm:f>$Q$12</xm:f>
            <x14:dxf>
              <fill>
                <patternFill>
                  <bgColor rgb="FFFF0000"/>
                </patternFill>
              </fill>
            </x14:dxf>
          </x14:cfRule>
          <x14:cfRule type="containsText" priority="3845" operator="containsText" id="{7FFB8285-6999-4929-8390-56AA77E827C3}">
            <xm:f>NOT(ISERROR(SEARCH($Q$12,Q642)))</xm:f>
            <xm:f>$Q$12</xm:f>
            <x14:dxf>
              <fill>
                <patternFill>
                  <bgColor theme="9" tint="0.59996337778862885"/>
                </patternFill>
              </fill>
            </x14:dxf>
          </x14:cfRule>
          <x14:cfRule type="containsText" priority="3846" operator="containsText" id="{D134A402-4E3B-496A-9D74-DB4852627B87}">
            <xm:f>NOT(ISERROR(SEARCH($Q$12,Q642)))</xm:f>
            <xm:f>$Q$12</xm:f>
            <x14:dxf>
              <fill>
                <patternFill>
                  <bgColor theme="9"/>
                </patternFill>
              </fill>
            </x14:dxf>
          </x14:cfRule>
          <x14:cfRule type="containsText" priority="3839" operator="containsText" id="{EFB34A6B-68E8-4F45-9AB7-283CD6A6CD5E}">
            <xm:f>NOT(ISERROR(SEARCH($Q$12,Q642)))</xm:f>
            <xm:f>$Q$12</xm:f>
            <x14:dxf>
              <fill>
                <patternFill>
                  <bgColor theme="9" tint="0.39994506668294322"/>
                </patternFill>
              </fill>
            </x14:dxf>
          </x14:cfRule>
          <x14:cfRule type="containsText" priority="3838" operator="containsText" id="{E4C0AEAE-533F-4C71-8976-570040722206}">
            <xm:f>NOT(ISERROR(SEARCH($Q$12,Q642)))</xm:f>
            <xm:f>$Q$12</xm:f>
            <x14:dxf>
              <fill>
                <patternFill>
                  <bgColor theme="9" tint="0.79998168889431442"/>
                </patternFill>
              </fill>
            </x14:dxf>
          </x14:cfRule>
          <x14:cfRule type="containsText" priority="3842" operator="containsText" id="{6DB5F46D-DC8C-47FC-A60F-434FD467E9CA}">
            <xm:f>NOT(ISERROR(SEARCH($Q$12,Q642)))</xm:f>
            <xm:f>$Q$12</xm:f>
            <x14:dxf>
              <fill>
                <patternFill>
                  <bgColor rgb="FFFFFF00"/>
                </patternFill>
              </fill>
            </x14:dxf>
          </x14:cfRule>
          <x14:cfRule type="containsText" priority="3837" operator="containsText" id="{3E848166-CD9E-4D50-8E5F-3AF068D2E769}">
            <xm:f>NOT(ISERROR(SEARCH($Q$12,Q642)))</xm:f>
            <xm:f>$Q$12</xm:f>
            <x14:dxf>
              <fill>
                <patternFill>
                  <bgColor rgb="FFFFFF00"/>
                </patternFill>
              </fill>
            </x14:dxf>
          </x14:cfRule>
          <x14:cfRule type="containsText" priority="3847" operator="containsText" id="{C16C0E92-9A73-4417-8AEC-12B2E62BF9EF}">
            <xm:f>NOT(ISERROR(SEARCH($Q$12,Q642)))</xm:f>
            <xm:f>$Q$12</xm:f>
            <x14:dxf>
              <fill>
                <patternFill>
                  <bgColor rgb="FFFFFF00"/>
                </patternFill>
              </fill>
            </x14:dxf>
          </x14:cfRule>
          <xm:sqref>Q642</xm:sqref>
        </x14:conditionalFormatting>
        <x14:conditionalFormatting xmlns:xm="http://schemas.microsoft.com/office/excel/2006/main">
          <x14:cfRule type="containsText" priority="3671" operator="containsText" id="{CEA6DA05-E1B7-4988-A58C-2FAB79F4B6D0}">
            <xm:f>NOT(ISERROR(SEARCH($Q$12,Q652)))</xm:f>
            <xm:f>$Q$12</xm:f>
            <x14:dxf>
              <fill>
                <patternFill>
                  <bgColor rgb="FFFFFF00"/>
                </patternFill>
              </fill>
            </x14:dxf>
          </x14:cfRule>
          <x14:cfRule type="containsText" priority="3673" operator="containsText" id="{460AD870-270D-422A-8CA7-7FB9DCF971AC}">
            <xm:f>NOT(ISERROR(SEARCH($Q$12,Q652)))</xm:f>
            <xm:f>$Q$12</xm:f>
            <x14:dxf>
              <fill>
                <patternFill>
                  <bgColor rgb="FFFF0000"/>
                </patternFill>
              </fill>
            </x14:dxf>
          </x14:cfRule>
          <x14:cfRule type="containsText" priority="3672" operator="containsText" id="{60D8BD2B-EA05-4A23-8383-1A783F97D8B8}">
            <xm:f>NOT(ISERROR(SEARCH($Q$12,Q652)))</xm:f>
            <xm:f>$Q$12</xm:f>
            <x14:dxf>
              <fill>
                <patternFill>
                  <bgColor rgb="FFFFC000"/>
                </patternFill>
              </fill>
            </x14:dxf>
          </x14:cfRule>
          <x14:cfRule type="containsText" priority="3661" operator="containsText" id="{9F853635-FDC5-4275-B2D6-B4153C05062F}">
            <xm:f>NOT(ISERROR(SEARCH($Q$12,Q652)))</xm:f>
            <xm:f>$Q$12</xm:f>
            <x14:dxf>
              <fill>
                <patternFill>
                  <bgColor rgb="FFFFFF00"/>
                </patternFill>
              </fill>
            </x14:dxf>
          </x14:cfRule>
          <x14:cfRule type="containsText" priority="3662" operator="containsText" id="{CA2280DE-DF1A-4ACE-9126-4456524A2EC8}">
            <xm:f>NOT(ISERROR(SEARCH($Q$12,Q652)))</xm:f>
            <xm:f>$Q$12</xm:f>
            <x14:dxf>
              <fill>
                <patternFill>
                  <bgColor theme="9" tint="0.79998168889431442"/>
                </patternFill>
              </fill>
            </x14:dxf>
          </x14:cfRule>
          <x14:cfRule type="containsText" priority="3663" operator="containsText" id="{D457F681-DBB9-46D4-B1A8-67AD78D20E74}">
            <xm:f>NOT(ISERROR(SEARCH($Q$12,Q652)))</xm:f>
            <xm:f>$Q$12</xm:f>
            <x14:dxf>
              <fill>
                <patternFill>
                  <bgColor theme="9" tint="0.39994506668294322"/>
                </patternFill>
              </fill>
            </x14:dxf>
          </x14:cfRule>
          <x14:cfRule type="containsText" priority="3664" operator="containsText" id="{76990010-43FF-4458-B93A-17B715C8193E}">
            <xm:f>NOT(ISERROR(SEARCH($Q$12,Q652)))</xm:f>
            <xm:f>$Q$12</xm:f>
            <x14:dxf>
              <fill>
                <patternFill>
                  <bgColor rgb="FF00B050"/>
                </patternFill>
              </fill>
            </x14:dxf>
          </x14:cfRule>
          <x14:cfRule type="containsText" priority="3665" operator="containsText" id="{675EE459-9355-4FFE-8CBB-FE762D5B5185}">
            <xm:f>NOT(ISERROR(SEARCH($Q$12,Q652)))</xm:f>
            <xm:f>$Q$12</xm:f>
            <x14:dxf/>
          </x14:cfRule>
          <x14:cfRule type="containsText" priority="3666" operator="containsText" id="{D99F906C-A1CC-496D-9098-A66621EE9CB6}">
            <xm:f>NOT(ISERROR(SEARCH($Q$12,Q652)))</xm:f>
            <xm:f>$Q$12</xm:f>
            <x14:dxf>
              <fill>
                <patternFill>
                  <bgColor rgb="FFFFFF00"/>
                </patternFill>
              </fill>
            </x14:dxf>
          </x14:cfRule>
          <x14:cfRule type="containsText" priority="3667" operator="containsText" id="{842679BC-8A5A-4861-8852-F17FF17D9CD5}">
            <xm:f>NOT(ISERROR(SEARCH($Q$12,Q652)))</xm:f>
            <xm:f>$Q$12</xm:f>
            <x14:dxf>
              <fill>
                <patternFill>
                  <bgColor rgb="FFFFC000"/>
                </patternFill>
              </fill>
            </x14:dxf>
          </x14:cfRule>
          <x14:cfRule type="containsText" priority="3668" operator="containsText" id="{6A04A652-8754-4487-8520-5E8223A42FEA}">
            <xm:f>NOT(ISERROR(SEARCH($Q$12,Q652)))</xm:f>
            <xm:f>$Q$12</xm:f>
            <x14:dxf>
              <fill>
                <patternFill>
                  <bgColor rgb="FFFF0000"/>
                </patternFill>
              </fill>
            </x14:dxf>
          </x14:cfRule>
          <x14:cfRule type="containsText" priority="3669" operator="containsText" id="{A4F71A42-CEC2-4FDF-B4CC-D85BD9528924}">
            <xm:f>NOT(ISERROR(SEARCH($Q$12,Q652)))</xm:f>
            <xm:f>$Q$12</xm:f>
            <x14:dxf>
              <fill>
                <patternFill>
                  <bgColor theme="9" tint="0.59996337778862885"/>
                </patternFill>
              </fill>
            </x14:dxf>
          </x14:cfRule>
          <x14:cfRule type="containsText" priority="3670" operator="containsText" id="{21852C29-3832-46A8-950E-2898A99656FA}">
            <xm:f>NOT(ISERROR(SEARCH($Q$12,Q652)))</xm:f>
            <xm:f>$Q$12</xm:f>
            <x14:dxf>
              <fill>
                <patternFill>
                  <bgColor theme="9"/>
                </patternFill>
              </fill>
            </x14:dxf>
          </x14:cfRule>
          <xm:sqref>Q652</xm:sqref>
        </x14:conditionalFormatting>
        <x14:conditionalFormatting xmlns:xm="http://schemas.microsoft.com/office/excel/2006/main">
          <x14:cfRule type="containsText" priority="3468" operator="containsText" id="{691846B4-DBB1-4F55-A5F4-914DBA33F48B}">
            <xm:f>NOT(ISERROR(SEARCH($Q$12,Q662)))</xm:f>
            <xm:f>$Q$12</xm:f>
            <x14:dxf>
              <fill>
                <patternFill>
                  <bgColor rgb="FF00B050"/>
                </patternFill>
              </fill>
            </x14:dxf>
          </x14:cfRule>
          <x14:cfRule type="containsText" priority="3470" operator="containsText" id="{F3765754-83BC-47FC-83FA-058721666A77}">
            <xm:f>NOT(ISERROR(SEARCH($Q$12,Q662)))</xm:f>
            <xm:f>$Q$12</xm:f>
            <x14:dxf>
              <fill>
                <patternFill>
                  <bgColor rgb="FFFFFF00"/>
                </patternFill>
              </fill>
            </x14:dxf>
          </x14:cfRule>
          <x14:cfRule type="containsText" priority="3471" operator="containsText" id="{45A0403F-E2AE-42A5-BBDC-8275D56FAEE9}">
            <xm:f>NOT(ISERROR(SEARCH($Q$12,Q662)))</xm:f>
            <xm:f>$Q$12</xm:f>
            <x14:dxf>
              <fill>
                <patternFill>
                  <bgColor rgb="FFFFC000"/>
                </patternFill>
              </fill>
            </x14:dxf>
          </x14:cfRule>
          <x14:cfRule type="containsText" priority="3472" operator="containsText" id="{F4972852-DAC1-4178-BDC2-9721EA80E019}">
            <xm:f>NOT(ISERROR(SEARCH($Q$12,Q662)))</xm:f>
            <xm:f>$Q$12</xm:f>
            <x14:dxf>
              <fill>
                <patternFill>
                  <bgColor rgb="FFFF0000"/>
                </patternFill>
              </fill>
            </x14:dxf>
          </x14:cfRule>
          <x14:cfRule type="containsText" priority="3473" operator="containsText" id="{1EA41316-2570-4A40-A325-5D033978F0AC}">
            <xm:f>NOT(ISERROR(SEARCH($Q$12,Q662)))</xm:f>
            <xm:f>$Q$12</xm:f>
            <x14:dxf>
              <fill>
                <patternFill>
                  <bgColor theme="9" tint="0.59996337778862885"/>
                </patternFill>
              </fill>
            </x14:dxf>
          </x14:cfRule>
          <x14:cfRule type="containsText" priority="3474" operator="containsText" id="{838D1CBD-C25A-44F6-9C09-772BDED57B2F}">
            <xm:f>NOT(ISERROR(SEARCH($Q$12,Q662)))</xm:f>
            <xm:f>$Q$12</xm:f>
            <x14:dxf>
              <fill>
                <patternFill>
                  <bgColor theme="9"/>
                </patternFill>
              </fill>
            </x14:dxf>
          </x14:cfRule>
          <x14:cfRule type="containsText" priority="3467" operator="containsText" id="{5D40350D-B0A3-4D4E-9A9B-ADABCCAB2FAE}">
            <xm:f>NOT(ISERROR(SEARCH($Q$12,Q662)))</xm:f>
            <xm:f>$Q$12</xm:f>
            <x14:dxf>
              <fill>
                <patternFill>
                  <bgColor theme="9" tint="0.39994506668294322"/>
                </patternFill>
              </fill>
            </x14:dxf>
          </x14:cfRule>
          <x14:cfRule type="containsText" priority="3477" operator="containsText" id="{1A6EA0B8-5303-4F87-AD28-43571FFBFC7A}">
            <xm:f>NOT(ISERROR(SEARCH($Q$12,Q662)))</xm:f>
            <xm:f>$Q$12</xm:f>
            <x14:dxf>
              <fill>
                <patternFill>
                  <bgColor rgb="FFFF0000"/>
                </patternFill>
              </fill>
            </x14:dxf>
          </x14:cfRule>
          <x14:cfRule type="containsText" priority="3475" operator="containsText" id="{13F76756-8BD1-461F-86D6-CC8A25EE66C4}">
            <xm:f>NOT(ISERROR(SEARCH($Q$12,Q662)))</xm:f>
            <xm:f>$Q$12</xm:f>
            <x14:dxf>
              <fill>
                <patternFill>
                  <bgColor rgb="FFFFFF00"/>
                </patternFill>
              </fill>
            </x14:dxf>
          </x14:cfRule>
          <x14:cfRule type="containsText" priority="3476" operator="containsText" id="{EBFAD19E-EABE-402B-90CB-D0BB9C54ADC6}">
            <xm:f>NOT(ISERROR(SEARCH($Q$12,Q662)))</xm:f>
            <xm:f>$Q$12</xm:f>
            <x14:dxf>
              <fill>
                <patternFill>
                  <bgColor rgb="FFFFC000"/>
                </patternFill>
              </fill>
            </x14:dxf>
          </x14:cfRule>
          <x14:cfRule type="containsText" priority="3466" operator="containsText" id="{7A944812-25F2-4E14-B7C0-1DF9CA656CD4}">
            <xm:f>NOT(ISERROR(SEARCH($Q$12,Q662)))</xm:f>
            <xm:f>$Q$12</xm:f>
            <x14:dxf>
              <fill>
                <patternFill>
                  <bgColor theme="9" tint="0.79998168889431442"/>
                </patternFill>
              </fill>
            </x14:dxf>
          </x14:cfRule>
          <x14:cfRule type="containsText" priority="3465" operator="containsText" id="{85F24F0A-E0CB-4087-9385-50E6890C23D4}">
            <xm:f>NOT(ISERROR(SEARCH($Q$12,Q662)))</xm:f>
            <xm:f>$Q$12</xm:f>
            <x14:dxf>
              <fill>
                <patternFill>
                  <bgColor rgb="FFFFFF00"/>
                </patternFill>
              </fill>
            </x14:dxf>
          </x14:cfRule>
          <x14:cfRule type="containsText" priority="3469" operator="containsText" id="{8BB226E3-C6C2-4F3D-9D6D-F0968298A9C8}">
            <xm:f>NOT(ISERROR(SEARCH($Q$12,Q662)))</xm:f>
            <xm:f>$Q$12</xm:f>
            <x14:dxf/>
          </x14:cfRule>
          <xm:sqref>Q662</xm:sqref>
        </x14:conditionalFormatting>
        <x14:conditionalFormatting xmlns:xm="http://schemas.microsoft.com/office/excel/2006/main">
          <x14:cfRule type="containsText" priority="3417" operator="containsText" id="{67D303BF-FCF2-4468-A56E-BC05AB52223F}">
            <xm:f>NOT(ISERROR(SEARCH($Q$12,Q672)))</xm:f>
            <xm:f>$Q$12</xm:f>
            <x14:dxf>
              <fill>
                <patternFill>
                  <bgColor rgb="FFFFFF00"/>
                </patternFill>
              </fill>
            </x14:dxf>
          </x14:cfRule>
          <x14:cfRule type="containsText" priority="3419" operator="containsText" id="{64E1B0A9-DA46-42B0-9312-A2C87FB86C2E}">
            <xm:f>NOT(ISERROR(SEARCH($Q$12,Q672)))</xm:f>
            <xm:f>$Q$12</xm:f>
            <x14:dxf>
              <fill>
                <patternFill>
                  <bgColor theme="9" tint="0.39994506668294322"/>
                </patternFill>
              </fill>
            </x14:dxf>
          </x14:cfRule>
          <x14:cfRule type="containsText" priority="3420" operator="containsText" id="{550A4C24-25EC-43CA-ABD8-33ABB4407E0B}">
            <xm:f>NOT(ISERROR(SEARCH($Q$12,Q672)))</xm:f>
            <xm:f>$Q$12</xm:f>
            <x14:dxf>
              <fill>
                <patternFill>
                  <bgColor rgb="FF00B050"/>
                </patternFill>
              </fill>
            </x14:dxf>
          </x14:cfRule>
          <x14:cfRule type="containsText" priority="3424" operator="containsText" id="{4E9679FD-B578-43BB-B494-34E5E36E7A7B}">
            <xm:f>NOT(ISERROR(SEARCH($Q$12,Q672)))</xm:f>
            <xm:f>$Q$12</xm:f>
            <x14:dxf>
              <fill>
                <patternFill>
                  <bgColor rgb="FFFF0000"/>
                </patternFill>
              </fill>
            </x14:dxf>
          </x14:cfRule>
          <x14:cfRule type="containsText" priority="3421" operator="containsText" id="{A742CBAD-426E-4BC6-8223-4D6E0E627900}">
            <xm:f>NOT(ISERROR(SEARCH($Q$12,Q672)))</xm:f>
            <xm:f>$Q$12</xm:f>
            <x14:dxf/>
          </x14:cfRule>
          <x14:cfRule type="containsText" priority="3422" operator="containsText" id="{F66F4045-47F0-46FA-8CD9-1A5D53C36AA9}">
            <xm:f>NOT(ISERROR(SEARCH($Q$12,Q672)))</xm:f>
            <xm:f>$Q$12</xm:f>
            <x14:dxf>
              <fill>
                <patternFill>
                  <bgColor rgb="FFFFFF00"/>
                </patternFill>
              </fill>
            </x14:dxf>
          </x14:cfRule>
          <x14:cfRule type="containsText" priority="3423" operator="containsText" id="{32E13659-6646-472D-A27E-E3E49B39E208}">
            <xm:f>NOT(ISERROR(SEARCH($Q$12,Q672)))</xm:f>
            <xm:f>$Q$12</xm:f>
            <x14:dxf>
              <fill>
                <patternFill>
                  <bgColor rgb="FFFFC000"/>
                </patternFill>
              </fill>
            </x14:dxf>
          </x14:cfRule>
          <x14:cfRule type="containsText" priority="3425" operator="containsText" id="{B87F35AE-0BD7-42F3-95EE-4332E58960FB}">
            <xm:f>NOT(ISERROR(SEARCH($Q$12,Q672)))</xm:f>
            <xm:f>$Q$12</xm:f>
            <x14:dxf>
              <fill>
                <patternFill>
                  <bgColor theme="9" tint="0.59996337778862885"/>
                </patternFill>
              </fill>
            </x14:dxf>
          </x14:cfRule>
          <x14:cfRule type="containsText" priority="3426" operator="containsText" id="{05069ED5-E48B-40E6-9175-48607D0B54D8}">
            <xm:f>NOT(ISERROR(SEARCH($Q$12,Q672)))</xm:f>
            <xm:f>$Q$12</xm:f>
            <x14:dxf>
              <fill>
                <patternFill>
                  <bgColor theme="9"/>
                </patternFill>
              </fill>
            </x14:dxf>
          </x14:cfRule>
          <x14:cfRule type="containsText" priority="3427" operator="containsText" id="{5E7F174E-E9B2-4418-9FFE-3229A7FBA465}">
            <xm:f>NOT(ISERROR(SEARCH($Q$12,Q672)))</xm:f>
            <xm:f>$Q$12</xm:f>
            <x14:dxf>
              <fill>
                <patternFill>
                  <bgColor rgb="FFFFFF00"/>
                </patternFill>
              </fill>
            </x14:dxf>
          </x14:cfRule>
          <x14:cfRule type="containsText" priority="3428" operator="containsText" id="{13EFF783-5C1F-4B05-A60C-E0936D8E977A}">
            <xm:f>NOT(ISERROR(SEARCH($Q$12,Q672)))</xm:f>
            <xm:f>$Q$12</xm:f>
            <x14:dxf>
              <fill>
                <patternFill>
                  <bgColor rgb="FFFFC000"/>
                </patternFill>
              </fill>
            </x14:dxf>
          </x14:cfRule>
          <x14:cfRule type="containsText" priority="3429" operator="containsText" id="{58C6F21C-C9FB-405A-BC1B-0FAA454EA69E}">
            <xm:f>NOT(ISERROR(SEARCH($Q$12,Q672)))</xm:f>
            <xm:f>$Q$12</xm:f>
            <x14:dxf>
              <fill>
                <patternFill>
                  <bgColor rgb="FFFF0000"/>
                </patternFill>
              </fill>
            </x14:dxf>
          </x14:cfRule>
          <x14:cfRule type="containsText" priority="3418" operator="containsText" id="{D2354B1C-D489-41CF-9C82-AD8A74148C46}">
            <xm:f>NOT(ISERROR(SEARCH($Q$12,Q672)))</xm:f>
            <xm:f>$Q$12</xm:f>
            <x14:dxf>
              <fill>
                <patternFill>
                  <bgColor theme="9" tint="0.79998168889431442"/>
                </patternFill>
              </fill>
            </x14:dxf>
          </x14:cfRule>
          <xm:sqref>Q672</xm:sqref>
        </x14:conditionalFormatting>
        <x14:conditionalFormatting xmlns:xm="http://schemas.microsoft.com/office/excel/2006/main">
          <x14:cfRule type="containsText" priority="3381" operator="containsText" id="{12B36037-7E12-49B0-987B-F96495A923F7}">
            <xm:f>NOT(ISERROR(SEARCH($Q$12,Q682)))</xm:f>
            <xm:f>$Q$12</xm:f>
            <x14:dxf>
              <fill>
                <patternFill>
                  <bgColor rgb="FFFF0000"/>
                </patternFill>
              </fill>
            </x14:dxf>
          </x14:cfRule>
          <x14:cfRule type="containsText" priority="3375" operator="containsText" id="{DF04A378-C2E3-4727-83A8-0D2F8E367D4A}">
            <xm:f>NOT(ISERROR(SEARCH($Q$12,Q682)))</xm:f>
            <xm:f>$Q$12</xm:f>
            <x14:dxf>
              <fill>
                <patternFill>
                  <bgColor rgb="FFFFC000"/>
                </patternFill>
              </fill>
            </x14:dxf>
          </x14:cfRule>
          <x14:cfRule type="containsText" priority="3379" operator="containsText" id="{BD95C993-CD63-4B12-B49A-A83B465F46A6}">
            <xm:f>NOT(ISERROR(SEARCH($Q$12,Q682)))</xm:f>
            <xm:f>$Q$12</xm:f>
            <x14:dxf>
              <fill>
                <patternFill>
                  <bgColor rgb="FFFFFF00"/>
                </patternFill>
              </fill>
            </x14:dxf>
          </x14:cfRule>
          <x14:cfRule type="containsText" priority="3378" operator="containsText" id="{F3CE088E-86C8-4A1F-993E-4CCA41DDAD85}">
            <xm:f>NOT(ISERROR(SEARCH($Q$12,Q682)))</xm:f>
            <xm:f>$Q$12</xm:f>
            <x14:dxf>
              <fill>
                <patternFill>
                  <bgColor theme="9"/>
                </patternFill>
              </fill>
            </x14:dxf>
          </x14:cfRule>
          <x14:cfRule type="containsText" priority="3374" operator="containsText" id="{2E386A96-E011-4D64-AA27-3A4A3BD06F64}">
            <xm:f>NOT(ISERROR(SEARCH($Q$12,Q682)))</xm:f>
            <xm:f>$Q$12</xm:f>
            <x14:dxf>
              <fill>
                <patternFill>
                  <bgColor rgb="FFFFFF00"/>
                </patternFill>
              </fill>
            </x14:dxf>
          </x14:cfRule>
          <x14:cfRule type="containsText" priority="3373" operator="containsText" id="{D785DCAB-8B48-4290-A2F6-E031DDA16861}">
            <xm:f>NOT(ISERROR(SEARCH($Q$12,Q682)))</xm:f>
            <xm:f>$Q$12</xm:f>
            <x14:dxf/>
          </x14:cfRule>
          <x14:cfRule type="containsText" priority="3372" operator="containsText" id="{136B0C27-12CB-49BD-B901-ED0173973CCC}">
            <xm:f>NOT(ISERROR(SEARCH($Q$12,Q682)))</xm:f>
            <xm:f>$Q$12</xm:f>
            <x14:dxf>
              <fill>
                <patternFill>
                  <bgColor rgb="FF00B050"/>
                </patternFill>
              </fill>
            </x14:dxf>
          </x14:cfRule>
          <x14:cfRule type="containsText" priority="3380" operator="containsText" id="{F2B180E5-6FA3-4FBD-B0B7-96E19EED7358}">
            <xm:f>NOT(ISERROR(SEARCH($Q$12,Q682)))</xm:f>
            <xm:f>$Q$12</xm:f>
            <x14:dxf>
              <fill>
                <patternFill>
                  <bgColor rgb="FFFFC000"/>
                </patternFill>
              </fill>
            </x14:dxf>
          </x14:cfRule>
          <x14:cfRule type="containsText" priority="3371" operator="containsText" id="{E9DDAAB4-165D-418D-AE0E-BE4A6D736F34}">
            <xm:f>NOT(ISERROR(SEARCH($Q$12,Q682)))</xm:f>
            <xm:f>$Q$12</xm:f>
            <x14:dxf>
              <fill>
                <patternFill>
                  <bgColor theme="9" tint="0.39994506668294322"/>
                </patternFill>
              </fill>
            </x14:dxf>
          </x14:cfRule>
          <x14:cfRule type="containsText" priority="3377" operator="containsText" id="{814A7B64-DEE1-447F-9C96-2F824AA2B0E4}">
            <xm:f>NOT(ISERROR(SEARCH($Q$12,Q682)))</xm:f>
            <xm:f>$Q$12</xm:f>
            <x14:dxf>
              <fill>
                <patternFill>
                  <bgColor theme="9" tint="0.59996337778862885"/>
                </patternFill>
              </fill>
            </x14:dxf>
          </x14:cfRule>
          <x14:cfRule type="containsText" priority="3370" operator="containsText" id="{80A25960-AC73-4BB7-A292-3F8AF6E388EC}">
            <xm:f>NOT(ISERROR(SEARCH($Q$12,Q682)))</xm:f>
            <xm:f>$Q$12</xm:f>
            <x14:dxf>
              <fill>
                <patternFill>
                  <bgColor theme="9" tint="0.79998168889431442"/>
                </patternFill>
              </fill>
            </x14:dxf>
          </x14:cfRule>
          <x14:cfRule type="containsText" priority="3369" operator="containsText" id="{5FD6EEB1-F151-4758-A87D-E653A972D921}">
            <xm:f>NOT(ISERROR(SEARCH($Q$12,Q682)))</xm:f>
            <xm:f>$Q$12</xm:f>
            <x14:dxf>
              <fill>
                <patternFill>
                  <bgColor rgb="FFFFFF00"/>
                </patternFill>
              </fill>
            </x14:dxf>
          </x14:cfRule>
          <x14:cfRule type="containsText" priority="3376" operator="containsText" id="{644C88C3-A1A2-4E26-AB70-30351149A250}">
            <xm:f>NOT(ISERROR(SEARCH($Q$12,Q682)))</xm:f>
            <xm:f>$Q$12</xm:f>
            <x14:dxf>
              <fill>
                <patternFill>
                  <bgColor rgb="FFFF0000"/>
                </patternFill>
              </fill>
            </x14:dxf>
          </x14:cfRule>
          <xm:sqref>Q682</xm:sqref>
        </x14:conditionalFormatting>
        <x14:conditionalFormatting xmlns:xm="http://schemas.microsoft.com/office/excel/2006/main">
          <x14:cfRule type="containsText" priority="3333" operator="containsText" id="{8478555B-3B3B-4462-970A-1A42687C8B01}">
            <xm:f>NOT(ISERROR(SEARCH($Q$12,Q692)))</xm:f>
            <xm:f>$Q$12</xm:f>
            <x14:dxf>
              <fill>
                <patternFill>
                  <bgColor rgb="FFFF0000"/>
                </patternFill>
              </fill>
            </x14:dxf>
          </x14:cfRule>
          <x14:cfRule type="containsText" priority="3328" operator="containsText" id="{B2E58818-EB06-4BEB-8CB0-B5DC959F8B34}">
            <xm:f>NOT(ISERROR(SEARCH($Q$12,Q692)))</xm:f>
            <xm:f>$Q$12</xm:f>
            <x14:dxf>
              <fill>
                <patternFill>
                  <bgColor rgb="FFFF0000"/>
                </patternFill>
              </fill>
            </x14:dxf>
          </x14:cfRule>
          <x14:cfRule type="containsText" priority="3322" operator="containsText" id="{034EB157-647F-4E29-8C40-22C95F0E5D7B}">
            <xm:f>NOT(ISERROR(SEARCH($Q$12,Q692)))</xm:f>
            <xm:f>$Q$12</xm:f>
            <x14:dxf>
              <fill>
                <patternFill>
                  <bgColor theme="9" tint="0.79998168889431442"/>
                </patternFill>
              </fill>
            </x14:dxf>
          </x14:cfRule>
          <x14:cfRule type="containsText" priority="3332" operator="containsText" id="{C71C8E1A-C60B-46D9-B2B9-3F5AE11741A8}">
            <xm:f>NOT(ISERROR(SEARCH($Q$12,Q692)))</xm:f>
            <xm:f>$Q$12</xm:f>
            <x14:dxf>
              <fill>
                <patternFill>
                  <bgColor rgb="FFFFC000"/>
                </patternFill>
              </fill>
            </x14:dxf>
          </x14:cfRule>
          <x14:cfRule type="containsText" priority="3331" operator="containsText" id="{F5A95E69-B5D5-41CF-9D0F-FF7F80961C52}">
            <xm:f>NOT(ISERROR(SEARCH($Q$12,Q692)))</xm:f>
            <xm:f>$Q$12</xm:f>
            <x14:dxf>
              <fill>
                <patternFill>
                  <bgColor rgb="FFFFFF00"/>
                </patternFill>
              </fill>
            </x14:dxf>
          </x14:cfRule>
          <x14:cfRule type="containsText" priority="3330" operator="containsText" id="{4A3D7421-9210-47AC-BA19-5624A1A9C488}">
            <xm:f>NOT(ISERROR(SEARCH($Q$12,Q692)))</xm:f>
            <xm:f>$Q$12</xm:f>
            <x14:dxf>
              <fill>
                <patternFill>
                  <bgColor theme="9"/>
                </patternFill>
              </fill>
            </x14:dxf>
          </x14:cfRule>
          <x14:cfRule type="containsText" priority="3329" operator="containsText" id="{AB4DB9FD-200D-46C5-A9DB-754E4003490D}">
            <xm:f>NOT(ISERROR(SEARCH($Q$12,Q692)))</xm:f>
            <xm:f>$Q$12</xm:f>
            <x14:dxf>
              <fill>
                <patternFill>
                  <bgColor theme="9" tint="0.59996337778862885"/>
                </patternFill>
              </fill>
            </x14:dxf>
          </x14:cfRule>
          <x14:cfRule type="containsText" priority="3327" operator="containsText" id="{AA8E490B-5035-40F5-B988-65C3E3005239}">
            <xm:f>NOT(ISERROR(SEARCH($Q$12,Q692)))</xm:f>
            <xm:f>$Q$12</xm:f>
            <x14:dxf>
              <fill>
                <patternFill>
                  <bgColor rgb="FFFFC000"/>
                </patternFill>
              </fill>
            </x14:dxf>
          </x14:cfRule>
          <x14:cfRule type="containsText" priority="3326" operator="containsText" id="{6D5CCC61-0A86-4C60-9D89-DDF1F2AD59D3}">
            <xm:f>NOT(ISERROR(SEARCH($Q$12,Q692)))</xm:f>
            <xm:f>$Q$12</xm:f>
            <x14:dxf>
              <fill>
                <patternFill>
                  <bgColor rgb="FFFFFF00"/>
                </patternFill>
              </fill>
            </x14:dxf>
          </x14:cfRule>
          <x14:cfRule type="containsText" priority="3325" operator="containsText" id="{E3EF2F1C-4F31-4039-9874-724109C1B036}">
            <xm:f>NOT(ISERROR(SEARCH($Q$12,Q692)))</xm:f>
            <xm:f>$Q$12</xm:f>
            <x14:dxf/>
          </x14:cfRule>
          <x14:cfRule type="containsText" priority="3324" operator="containsText" id="{EAFB5C62-5E74-4DA2-8DE0-414BF1329505}">
            <xm:f>NOT(ISERROR(SEARCH($Q$12,Q692)))</xm:f>
            <xm:f>$Q$12</xm:f>
            <x14:dxf>
              <fill>
                <patternFill>
                  <bgColor rgb="FF00B050"/>
                </patternFill>
              </fill>
            </x14:dxf>
          </x14:cfRule>
          <x14:cfRule type="containsText" priority="3323" operator="containsText" id="{5C1C2E36-95B3-49CD-BFF6-C7C99BE959B6}">
            <xm:f>NOT(ISERROR(SEARCH($Q$12,Q692)))</xm:f>
            <xm:f>$Q$12</xm:f>
            <x14:dxf>
              <fill>
                <patternFill>
                  <bgColor theme="9" tint="0.39994506668294322"/>
                </patternFill>
              </fill>
            </x14:dxf>
          </x14:cfRule>
          <x14:cfRule type="containsText" priority="3321" operator="containsText" id="{4BBCB07C-FAE8-4B98-A798-7BCEC34CD808}">
            <xm:f>NOT(ISERROR(SEARCH($Q$12,Q692)))</xm:f>
            <xm:f>$Q$12</xm:f>
            <x14:dxf>
              <fill>
                <patternFill>
                  <bgColor rgb="FFFFFF00"/>
                </patternFill>
              </fill>
            </x14:dxf>
          </x14:cfRule>
          <xm:sqref>Q692</xm:sqref>
        </x14:conditionalFormatting>
        <x14:conditionalFormatting xmlns:xm="http://schemas.microsoft.com/office/excel/2006/main">
          <x14:cfRule type="containsText" priority="3275" operator="containsText" id="{D3D3191B-FDE1-4E9D-8DD0-D7760D52E9C2}">
            <xm:f>NOT(ISERROR(SEARCH($Q$12,Q702)))</xm:f>
            <xm:f>$Q$12</xm:f>
            <x14:dxf>
              <fill>
                <patternFill>
                  <bgColor theme="9" tint="0.39994506668294322"/>
                </patternFill>
              </fill>
            </x14:dxf>
          </x14:cfRule>
          <x14:cfRule type="containsText" priority="3274" operator="containsText" id="{1CF2507B-8D53-46FD-B838-EE78C17FC83B}">
            <xm:f>NOT(ISERROR(SEARCH($Q$12,Q702)))</xm:f>
            <xm:f>$Q$12</xm:f>
            <x14:dxf>
              <fill>
                <patternFill>
                  <bgColor theme="9" tint="0.79998168889431442"/>
                </patternFill>
              </fill>
            </x14:dxf>
          </x14:cfRule>
          <x14:cfRule type="containsText" priority="3273" operator="containsText" id="{90E0726B-3473-42C0-AE7F-40A2EF0C024C}">
            <xm:f>NOT(ISERROR(SEARCH($Q$12,Q702)))</xm:f>
            <xm:f>$Q$12</xm:f>
            <x14:dxf>
              <fill>
                <patternFill>
                  <bgColor rgb="FFFFFF00"/>
                </patternFill>
              </fill>
            </x14:dxf>
          </x14:cfRule>
          <x14:cfRule type="containsText" priority="3285" operator="containsText" id="{B3983D0B-88F6-4F99-A861-68760F187814}">
            <xm:f>NOT(ISERROR(SEARCH($Q$12,Q702)))</xm:f>
            <xm:f>$Q$12</xm:f>
            <x14:dxf>
              <fill>
                <patternFill>
                  <bgColor rgb="FFFF0000"/>
                </patternFill>
              </fill>
            </x14:dxf>
          </x14:cfRule>
          <x14:cfRule type="containsText" priority="3277" operator="containsText" id="{C8CEF02C-FBCF-40D0-8C41-A5E0C689C721}">
            <xm:f>NOT(ISERROR(SEARCH($Q$12,Q702)))</xm:f>
            <xm:f>$Q$12</xm:f>
            <x14:dxf/>
          </x14:cfRule>
          <x14:cfRule type="containsText" priority="3276" operator="containsText" id="{1EC6B329-9892-495B-9659-697C1CF6802E}">
            <xm:f>NOT(ISERROR(SEARCH($Q$12,Q702)))</xm:f>
            <xm:f>$Q$12</xm:f>
            <x14:dxf>
              <fill>
                <patternFill>
                  <bgColor rgb="FF00B050"/>
                </patternFill>
              </fill>
            </x14:dxf>
          </x14:cfRule>
          <x14:cfRule type="containsText" priority="3278" operator="containsText" id="{19862E95-728A-44AF-8B2C-1A549DAEE5FC}">
            <xm:f>NOT(ISERROR(SEARCH($Q$12,Q702)))</xm:f>
            <xm:f>$Q$12</xm:f>
            <x14:dxf>
              <fill>
                <patternFill>
                  <bgColor rgb="FFFFFF00"/>
                </patternFill>
              </fill>
            </x14:dxf>
          </x14:cfRule>
          <x14:cfRule type="containsText" priority="3279" operator="containsText" id="{88C6453A-E434-4419-826F-AD181D89BB47}">
            <xm:f>NOT(ISERROR(SEARCH($Q$12,Q702)))</xm:f>
            <xm:f>$Q$12</xm:f>
            <x14:dxf>
              <fill>
                <patternFill>
                  <bgColor rgb="FFFFC000"/>
                </patternFill>
              </fill>
            </x14:dxf>
          </x14:cfRule>
          <x14:cfRule type="containsText" priority="3284" operator="containsText" id="{2CAD415A-57A8-43D0-BDD4-73EE3BB69EDA}">
            <xm:f>NOT(ISERROR(SEARCH($Q$12,Q702)))</xm:f>
            <xm:f>$Q$12</xm:f>
            <x14:dxf>
              <fill>
                <patternFill>
                  <bgColor rgb="FFFFC000"/>
                </patternFill>
              </fill>
            </x14:dxf>
          </x14:cfRule>
          <x14:cfRule type="containsText" priority="3283" operator="containsText" id="{1C356B85-F8ED-4E13-903A-5B0255D77175}">
            <xm:f>NOT(ISERROR(SEARCH($Q$12,Q702)))</xm:f>
            <xm:f>$Q$12</xm:f>
            <x14:dxf>
              <fill>
                <patternFill>
                  <bgColor rgb="FFFFFF00"/>
                </patternFill>
              </fill>
            </x14:dxf>
          </x14:cfRule>
          <x14:cfRule type="containsText" priority="3281" operator="containsText" id="{EBBB4903-1946-453E-B494-D1B44D5B7398}">
            <xm:f>NOT(ISERROR(SEARCH($Q$12,Q702)))</xm:f>
            <xm:f>$Q$12</xm:f>
            <x14:dxf>
              <fill>
                <patternFill>
                  <bgColor theme="9" tint="0.59996337778862885"/>
                </patternFill>
              </fill>
            </x14:dxf>
          </x14:cfRule>
          <x14:cfRule type="containsText" priority="3282" operator="containsText" id="{F7CED5D0-234F-404E-914C-97D37F01F45D}">
            <xm:f>NOT(ISERROR(SEARCH($Q$12,Q702)))</xm:f>
            <xm:f>$Q$12</xm:f>
            <x14:dxf>
              <fill>
                <patternFill>
                  <bgColor theme="9"/>
                </patternFill>
              </fill>
            </x14:dxf>
          </x14:cfRule>
          <x14:cfRule type="containsText" priority="3280" operator="containsText" id="{484A7F3A-66AD-461F-9243-97FBA24038F3}">
            <xm:f>NOT(ISERROR(SEARCH($Q$12,Q702)))</xm:f>
            <xm:f>$Q$12</xm:f>
            <x14:dxf>
              <fill>
                <patternFill>
                  <bgColor rgb="FFFF0000"/>
                </patternFill>
              </fill>
            </x14:dxf>
          </x14:cfRule>
          <xm:sqref>Q702</xm:sqref>
        </x14:conditionalFormatting>
        <x14:conditionalFormatting xmlns:xm="http://schemas.microsoft.com/office/excel/2006/main">
          <x14:cfRule type="containsText" priority="3231" operator="containsText" id="{A6E3EC8A-311A-4B9F-91AD-473F1261C03A}">
            <xm:f>NOT(ISERROR(SEARCH($Q$12,Q712)))</xm:f>
            <xm:f>$Q$12</xm:f>
            <x14:dxf>
              <fill>
                <patternFill>
                  <bgColor rgb="FFFFC000"/>
                </patternFill>
              </fill>
            </x14:dxf>
          </x14:cfRule>
          <x14:cfRule type="containsText" priority="3225" operator="containsText" id="{A906780D-B693-4AA5-80F9-3E539AA31C05}">
            <xm:f>NOT(ISERROR(SEARCH($Q$12,Q712)))</xm:f>
            <xm:f>$Q$12</xm:f>
            <x14:dxf>
              <fill>
                <patternFill>
                  <bgColor rgb="FFFFFF00"/>
                </patternFill>
              </fill>
            </x14:dxf>
          </x14:cfRule>
          <x14:cfRule type="containsText" priority="3226" operator="containsText" id="{0677D56D-B149-4FA8-AC16-DD3F411E712F}">
            <xm:f>NOT(ISERROR(SEARCH($Q$12,Q712)))</xm:f>
            <xm:f>$Q$12</xm:f>
            <x14:dxf>
              <fill>
                <patternFill>
                  <bgColor theme="9" tint="0.79998168889431442"/>
                </patternFill>
              </fill>
            </x14:dxf>
          </x14:cfRule>
          <x14:cfRule type="containsText" priority="3227" operator="containsText" id="{16DBFE21-AD9F-43AB-984D-2BA0174AA368}">
            <xm:f>NOT(ISERROR(SEARCH($Q$12,Q712)))</xm:f>
            <xm:f>$Q$12</xm:f>
            <x14:dxf>
              <fill>
                <patternFill>
                  <bgColor theme="9" tint="0.39994506668294322"/>
                </patternFill>
              </fill>
            </x14:dxf>
          </x14:cfRule>
          <x14:cfRule type="containsText" priority="3228" operator="containsText" id="{12D26349-0016-4344-8159-DDB31F245309}">
            <xm:f>NOT(ISERROR(SEARCH($Q$12,Q712)))</xm:f>
            <xm:f>$Q$12</xm:f>
            <x14:dxf>
              <fill>
                <patternFill>
                  <bgColor rgb="FF00B050"/>
                </patternFill>
              </fill>
            </x14:dxf>
          </x14:cfRule>
          <x14:cfRule type="containsText" priority="3229" operator="containsText" id="{66A91B73-BD72-40C9-84B1-7FD12C12B768}">
            <xm:f>NOT(ISERROR(SEARCH($Q$12,Q712)))</xm:f>
            <xm:f>$Q$12</xm:f>
            <x14:dxf/>
          </x14:cfRule>
          <x14:cfRule type="containsText" priority="3230" operator="containsText" id="{3094E1E3-3ED1-4FF5-8B14-086FDCC2F47E}">
            <xm:f>NOT(ISERROR(SEARCH($Q$12,Q712)))</xm:f>
            <xm:f>$Q$12</xm:f>
            <x14:dxf>
              <fill>
                <patternFill>
                  <bgColor rgb="FFFFFF00"/>
                </patternFill>
              </fill>
            </x14:dxf>
          </x14:cfRule>
          <x14:cfRule type="containsText" priority="3232" operator="containsText" id="{5BA540CF-5D53-4C56-BCEB-EE993CF772DA}">
            <xm:f>NOT(ISERROR(SEARCH($Q$12,Q712)))</xm:f>
            <xm:f>$Q$12</xm:f>
            <x14:dxf>
              <fill>
                <patternFill>
                  <bgColor rgb="FFFF0000"/>
                </patternFill>
              </fill>
            </x14:dxf>
          </x14:cfRule>
          <x14:cfRule type="containsText" priority="3233" operator="containsText" id="{27C77A7B-7039-4419-992D-8C3FA247B567}">
            <xm:f>NOT(ISERROR(SEARCH($Q$12,Q712)))</xm:f>
            <xm:f>$Q$12</xm:f>
            <x14:dxf>
              <fill>
                <patternFill>
                  <bgColor theme="9" tint="0.59996337778862885"/>
                </patternFill>
              </fill>
            </x14:dxf>
          </x14:cfRule>
          <x14:cfRule type="containsText" priority="3234" operator="containsText" id="{B88BE6FF-B0B5-4335-8E61-DEA69E71231E}">
            <xm:f>NOT(ISERROR(SEARCH($Q$12,Q712)))</xm:f>
            <xm:f>$Q$12</xm:f>
            <x14:dxf>
              <fill>
                <patternFill>
                  <bgColor theme="9"/>
                </patternFill>
              </fill>
            </x14:dxf>
          </x14:cfRule>
          <x14:cfRule type="containsText" priority="3235" operator="containsText" id="{DD179E3A-0819-440F-B411-9362DCFB07D5}">
            <xm:f>NOT(ISERROR(SEARCH($Q$12,Q712)))</xm:f>
            <xm:f>$Q$12</xm:f>
            <x14:dxf>
              <fill>
                <patternFill>
                  <bgColor rgb="FFFFFF00"/>
                </patternFill>
              </fill>
            </x14:dxf>
          </x14:cfRule>
          <x14:cfRule type="containsText" priority="3236" operator="containsText" id="{384051CE-85AE-41E1-BFF3-236BF7DEC386}">
            <xm:f>NOT(ISERROR(SEARCH($Q$12,Q712)))</xm:f>
            <xm:f>$Q$12</xm:f>
            <x14:dxf>
              <fill>
                <patternFill>
                  <bgColor rgb="FFFFC000"/>
                </patternFill>
              </fill>
            </x14:dxf>
          </x14:cfRule>
          <x14:cfRule type="containsText" priority="3237" operator="containsText" id="{9FA161E2-4BA9-4F5E-B91C-6C7BB959A68D}">
            <xm:f>NOT(ISERROR(SEARCH($Q$12,Q712)))</xm:f>
            <xm:f>$Q$12</xm:f>
            <x14:dxf>
              <fill>
                <patternFill>
                  <bgColor rgb="FFFF0000"/>
                </patternFill>
              </fill>
            </x14:dxf>
          </x14:cfRule>
          <xm:sqref>Q712</xm:sqref>
        </x14:conditionalFormatting>
        <x14:conditionalFormatting xmlns:xm="http://schemas.microsoft.com/office/excel/2006/main">
          <x14:cfRule type="containsText" priority="2845" operator="containsText" id="{B22DBBD5-2716-4ED0-AB95-6F3B22FD18D0}">
            <xm:f>NOT(ISERROR(SEARCH($Q$12,Q722)))</xm:f>
            <xm:f>$Q$12</xm:f>
            <x14:dxf>
              <fill>
                <patternFill>
                  <bgColor theme="9" tint="0.39994506668294322"/>
                </patternFill>
              </fill>
            </x14:dxf>
          </x14:cfRule>
          <x14:cfRule type="containsText" priority="2855" operator="containsText" id="{346CD04E-104D-4124-B890-D4347A828631}">
            <xm:f>NOT(ISERROR(SEARCH($Q$12,Q722)))</xm:f>
            <xm:f>$Q$12</xm:f>
            <x14:dxf>
              <fill>
                <patternFill>
                  <bgColor rgb="FFFF0000"/>
                </patternFill>
              </fill>
            </x14:dxf>
          </x14:cfRule>
          <x14:cfRule type="containsText" priority="2844" operator="containsText" id="{6E037083-83D9-477B-A6D5-71705213803B}">
            <xm:f>NOT(ISERROR(SEARCH($Q$12,Q722)))</xm:f>
            <xm:f>$Q$12</xm:f>
            <x14:dxf>
              <fill>
                <patternFill>
                  <bgColor theme="9" tint="0.79998168889431442"/>
                </patternFill>
              </fill>
            </x14:dxf>
          </x14:cfRule>
          <x14:cfRule type="containsText" priority="2843" operator="containsText" id="{3CE90EE5-3F47-4CC3-9828-E8D7E4AE0C00}">
            <xm:f>NOT(ISERROR(SEARCH($Q$12,Q722)))</xm:f>
            <xm:f>$Q$12</xm:f>
            <x14:dxf>
              <fill>
                <patternFill>
                  <bgColor rgb="FFFFFF00"/>
                </patternFill>
              </fill>
            </x14:dxf>
          </x14:cfRule>
          <x14:cfRule type="containsText" priority="2854" operator="containsText" id="{17FD045B-FA7A-4892-91BE-81C2F1C35F84}">
            <xm:f>NOT(ISERROR(SEARCH($Q$12,Q722)))</xm:f>
            <xm:f>$Q$12</xm:f>
            <x14:dxf>
              <fill>
                <patternFill>
                  <bgColor rgb="FFFFC000"/>
                </patternFill>
              </fill>
            </x14:dxf>
          </x14:cfRule>
          <x14:cfRule type="containsText" priority="2853" operator="containsText" id="{9597F87C-600C-4174-90CC-238BBE37BD75}">
            <xm:f>NOT(ISERROR(SEARCH($Q$12,Q722)))</xm:f>
            <xm:f>$Q$12</xm:f>
            <x14:dxf>
              <fill>
                <patternFill>
                  <bgColor rgb="FFFFFF00"/>
                </patternFill>
              </fill>
            </x14:dxf>
          </x14:cfRule>
          <x14:cfRule type="containsText" priority="2852" operator="containsText" id="{07ECC112-8298-4E25-AFE1-F492F346378D}">
            <xm:f>NOT(ISERROR(SEARCH($Q$12,Q722)))</xm:f>
            <xm:f>$Q$12</xm:f>
            <x14:dxf>
              <fill>
                <patternFill>
                  <bgColor theme="9"/>
                </patternFill>
              </fill>
            </x14:dxf>
          </x14:cfRule>
          <x14:cfRule type="containsText" priority="2851" operator="containsText" id="{93E62DB0-1A63-4E35-B7D2-193F9B58642C}">
            <xm:f>NOT(ISERROR(SEARCH($Q$12,Q722)))</xm:f>
            <xm:f>$Q$12</xm:f>
            <x14:dxf>
              <fill>
                <patternFill>
                  <bgColor theme="9" tint="0.59996337778862885"/>
                </patternFill>
              </fill>
            </x14:dxf>
          </x14:cfRule>
          <x14:cfRule type="containsText" priority="2850" operator="containsText" id="{BC5EB304-201E-4065-872C-6820F1EDE4C2}">
            <xm:f>NOT(ISERROR(SEARCH($Q$12,Q722)))</xm:f>
            <xm:f>$Q$12</xm:f>
            <x14:dxf>
              <fill>
                <patternFill>
                  <bgColor rgb="FFFF0000"/>
                </patternFill>
              </fill>
            </x14:dxf>
          </x14:cfRule>
          <x14:cfRule type="containsText" priority="2849" operator="containsText" id="{42DB8A2E-ED00-415B-B4E9-7DF4E8C0A0CD}">
            <xm:f>NOT(ISERROR(SEARCH($Q$12,Q722)))</xm:f>
            <xm:f>$Q$12</xm:f>
            <x14:dxf>
              <fill>
                <patternFill>
                  <bgColor rgb="FFFFC000"/>
                </patternFill>
              </fill>
            </x14:dxf>
          </x14:cfRule>
          <x14:cfRule type="containsText" priority="2848" operator="containsText" id="{D5955B92-F825-43F7-B068-E1450E83E2E8}">
            <xm:f>NOT(ISERROR(SEARCH($Q$12,Q722)))</xm:f>
            <xm:f>$Q$12</xm:f>
            <x14:dxf>
              <fill>
                <patternFill>
                  <bgColor rgb="FFFFFF00"/>
                </patternFill>
              </fill>
            </x14:dxf>
          </x14:cfRule>
          <x14:cfRule type="containsText" priority="2847" operator="containsText" id="{5188EE21-CBB2-4512-91DA-5E474B1484CE}">
            <xm:f>NOT(ISERROR(SEARCH($Q$12,Q722)))</xm:f>
            <xm:f>$Q$12</xm:f>
            <x14:dxf/>
          </x14:cfRule>
          <x14:cfRule type="containsText" priority="2846" operator="containsText" id="{B484DB6B-5D67-4D34-AC80-467799A7A0A5}">
            <xm:f>NOT(ISERROR(SEARCH($Q$12,Q722)))</xm:f>
            <xm:f>$Q$12</xm:f>
            <x14:dxf>
              <fill>
                <patternFill>
                  <bgColor rgb="FF00B050"/>
                </patternFill>
              </fill>
            </x14:dxf>
          </x14:cfRule>
          <xm:sqref>Q722</xm:sqref>
        </x14:conditionalFormatting>
        <x14:conditionalFormatting xmlns:xm="http://schemas.microsoft.com/office/excel/2006/main">
          <x14:cfRule type="containsText" priority="2807" operator="containsText" id="{2802411D-9FC1-432F-B1DE-C0A3267D87D0}">
            <xm:f>NOT(ISERROR(SEARCH($Q$12,Q732)))</xm:f>
            <xm:f>$Q$12</xm:f>
            <x14:dxf>
              <fill>
                <patternFill>
                  <bgColor rgb="FFFF0000"/>
                </patternFill>
              </fill>
            </x14:dxf>
          </x14:cfRule>
          <x14:cfRule type="containsText" priority="2803" operator="containsText" id="{2C06F177-00ED-40FD-A58B-90E2EC6C8D48}">
            <xm:f>NOT(ISERROR(SEARCH($Q$12,Q732)))</xm:f>
            <xm:f>$Q$12</xm:f>
            <x14:dxf>
              <fill>
                <patternFill>
                  <bgColor theme="9" tint="0.59996337778862885"/>
                </patternFill>
              </fill>
            </x14:dxf>
          </x14:cfRule>
          <x14:cfRule type="containsText" priority="2802" operator="containsText" id="{CE27D5FE-1BF3-4925-964D-6B41D79C76E4}">
            <xm:f>NOT(ISERROR(SEARCH($Q$12,Q732)))</xm:f>
            <xm:f>$Q$12</xm:f>
            <x14:dxf>
              <fill>
                <patternFill>
                  <bgColor rgb="FFFF0000"/>
                </patternFill>
              </fill>
            </x14:dxf>
          </x14:cfRule>
          <x14:cfRule type="containsText" priority="2801" operator="containsText" id="{3CFF850B-ADD7-4752-9880-BE6775CB9358}">
            <xm:f>NOT(ISERROR(SEARCH($Q$12,Q732)))</xm:f>
            <xm:f>$Q$12</xm:f>
            <x14:dxf>
              <fill>
                <patternFill>
                  <bgColor rgb="FFFFC000"/>
                </patternFill>
              </fill>
            </x14:dxf>
          </x14:cfRule>
          <x14:cfRule type="containsText" priority="2806" operator="containsText" id="{D9AF7300-87D4-4978-BCBE-0109AC40A731}">
            <xm:f>NOT(ISERROR(SEARCH($Q$12,Q732)))</xm:f>
            <xm:f>$Q$12</xm:f>
            <x14:dxf>
              <fill>
                <patternFill>
                  <bgColor rgb="FFFFC000"/>
                </patternFill>
              </fill>
            </x14:dxf>
          </x14:cfRule>
          <x14:cfRule type="containsText" priority="2805" operator="containsText" id="{CC3371C7-8688-46C4-9DC0-AD3EAEB3C01A}">
            <xm:f>NOT(ISERROR(SEARCH($Q$12,Q732)))</xm:f>
            <xm:f>$Q$12</xm:f>
            <x14:dxf>
              <fill>
                <patternFill>
                  <bgColor rgb="FFFFFF00"/>
                </patternFill>
              </fill>
            </x14:dxf>
          </x14:cfRule>
          <x14:cfRule type="containsText" priority="2804" operator="containsText" id="{12CA1782-2BFF-48D8-B32F-FEA70AE4ABD4}">
            <xm:f>NOT(ISERROR(SEARCH($Q$12,Q732)))</xm:f>
            <xm:f>$Q$12</xm:f>
            <x14:dxf>
              <fill>
                <patternFill>
                  <bgColor theme="9"/>
                </patternFill>
              </fill>
            </x14:dxf>
          </x14:cfRule>
          <x14:cfRule type="containsText" priority="2795" operator="containsText" id="{15078B76-5D92-45DE-89BF-F5FBC97A8BA1}">
            <xm:f>NOT(ISERROR(SEARCH($Q$12,Q732)))</xm:f>
            <xm:f>$Q$12</xm:f>
            <x14:dxf>
              <fill>
                <patternFill>
                  <bgColor rgb="FFFFFF00"/>
                </patternFill>
              </fill>
            </x14:dxf>
          </x14:cfRule>
          <x14:cfRule type="containsText" priority="2796" operator="containsText" id="{C997DDFF-FDC4-4E00-9154-EFCD4E300534}">
            <xm:f>NOT(ISERROR(SEARCH($Q$12,Q732)))</xm:f>
            <xm:f>$Q$12</xm:f>
            <x14:dxf>
              <fill>
                <patternFill>
                  <bgColor theme="9" tint="0.79998168889431442"/>
                </patternFill>
              </fill>
            </x14:dxf>
          </x14:cfRule>
          <x14:cfRule type="containsText" priority="2797" operator="containsText" id="{8761ED6B-FFC9-47A8-B4E4-EDF65BB9C92C}">
            <xm:f>NOT(ISERROR(SEARCH($Q$12,Q732)))</xm:f>
            <xm:f>$Q$12</xm:f>
            <x14:dxf>
              <fill>
                <patternFill>
                  <bgColor theme="9" tint="0.39994506668294322"/>
                </patternFill>
              </fill>
            </x14:dxf>
          </x14:cfRule>
          <x14:cfRule type="containsText" priority="2798" operator="containsText" id="{586819AD-6890-4198-8DC8-BBD06B0F4D5B}">
            <xm:f>NOT(ISERROR(SEARCH($Q$12,Q732)))</xm:f>
            <xm:f>$Q$12</xm:f>
            <x14:dxf>
              <fill>
                <patternFill>
                  <bgColor rgb="FF00B050"/>
                </patternFill>
              </fill>
            </x14:dxf>
          </x14:cfRule>
          <x14:cfRule type="containsText" priority="2799" operator="containsText" id="{285773DA-30FC-4AD7-9F83-F2E475553846}">
            <xm:f>NOT(ISERROR(SEARCH($Q$12,Q732)))</xm:f>
            <xm:f>$Q$12</xm:f>
            <x14:dxf/>
          </x14:cfRule>
          <x14:cfRule type="containsText" priority="2800" operator="containsText" id="{AE5F650F-7299-4E8F-80EA-BBF885CE26A5}">
            <xm:f>NOT(ISERROR(SEARCH($Q$12,Q732)))</xm:f>
            <xm:f>$Q$12</xm:f>
            <x14:dxf>
              <fill>
                <patternFill>
                  <bgColor rgb="FFFFFF00"/>
                </patternFill>
              </fill>
            </x14:dxf>
          </x14:cfRule>
          <xm:sqref>Q732</xm:sqref>
        </x14:conditionalFormatting>
        <x14:conditionalFormatting xmlns:xm="http://schemas.microsoft.com/office/excel/2006/main">
          <x14:cfRule type="containsText" priority="2759" operator="containsText" id="{B2AF1A4F-CC69-46DB-8D53-0D711F67A24B}">
            <xm:f>NOT(ISERROR(SEARCH($Q$12,Q742)))</xm:f>
            <xm:f>$Q$12</xm:f>
            <x14:dxf>
              <fill>
                <patternFill>
                  <bgColor rgb="FFFF0000"/>
                </patternFill>
              </fill>
            </x14:dxf>
          </x14:cfRule>
          <x14:cfRule type="containsText" priority="2758" operator="containsText" id="{FDA349E8-31EF-4459-B5CA-2A96510CE99F}">
            <xm:f>NOT(ISERROR(SEARCH($Q$12,Q742)))</xm:f>
            <xm:f>$Q$12</xm:f>
            <x14:dxf>
              <fill>
                <patternFill>
                  <bgColor rgb="FFFFC000"/>
                </patternFill>
              </fill>
            </x14:dxf>
          </x14:cfRule>
          <x14:cfRule type="containsText" priority="2757" operator="containsText" id="{FCCF368D-79A9-4DAD-AE81-23A1C7CF2E00}">
            <xm:f>NOT(ISERROR(SEARCH($Q$12,Q742)))</xm:f>
            <xm:f>$Q$12</xm:f>
            <x14:dxf>
              <fill>
                <patternFill>
                  <bgColor rgb="FFFFFF00"/>
                </patternFill>
              </fill>
            </x14:dxf>
          </x14:cfRule>
          <x14:cfRule type="containsText" priority="2756" operator="containsText" id="{657F1F0C-38FC-4036-88D2-EE76DF41869A}">
            <xm:f>NOT(ISERROR(SEARCH($Q$12,Q742)))</xm:f>
            <xm:f>$Q$12</xm:f>
            <x14:dxf>
              <fill>
                <patternFill>
                  <bgColor theme="9"/>
                </patternFill>
              </fill>
            </x14:dxf>
          </x14:cfRule>
          <x14:cfRule type="containsText" priority="2755" operator="containsText" id="{1D3D467B-F881-4C43-92CD-DC0B05D16A22}">
            <xm:f>NOT(ISERROR(SEARCH($Q$12,Q742)))</xm:f>
            <xm:f>$Q$12</xm:f>
            <x14:dxf>
              <fill>
                <patternFill>
                  <bgColor theme="9" tint="0.59996337778862885"/>
                </patternFill>
              </fill>
            </x14:dxf>
          </x14:cfRule>
          <x14:cfRule type="containsText" priority="2754" operator="containsText" id="{946B49DD-1729-446B-8D8A-E333F7B14290}">
            <xm:f>NOT(ISERROR(SEARCH($Q$12,Q742)))</xm:f>
            <xm:f>$Q$12</xm:f>
            <x14:dxf>
              <fill>
                <patternFill>
                  <bgColor rgb="FFFF0000"/>
                </patternFill>
              </fill>
            </x14:dxf>
          </x14:cfRule>
          <x14:cfRule type="containsText" priority="2753" operator="containsText" id="{06494273-1F3B-415B-918D-8802B3A40C70}">
            <xm:f>NOT(ISERROR(SEARCH($Q$12,Q742)))</xm:f>
            <xm:f>$Q$12</xm:f>
            <x14:dxf>
              <fill>
                <patternFill>
                  <bgColor rgb="FFFFC000"/>
                </patternFill>
              </fill>
            </x14:dxf>
          </x14:cfRule>
          <x14:cfRule type="containsText" priority="2752" operator="containsText" id="{254BAD0C-227C-4310-AE30-DE0E83184540}">
            <xm:f>NOT(ISERROR(SEARCH($Q$12,Q742)))</xm:f>
            <xm:f>$Q$12</xm:f>
            <x14:dxf>
              <fill>
                <patternFill>
                  <bgColor rgb="FFFFFF00"/>
                </patternFill>
              </fill>
            </x14:dxf>
          </x14:cfRule>
          <x14:cfRule type="containsText" priority="2751" operator="containsText" id="{205D4FE0-1CB9-4FDB-B7DB-AA6938B89B06}">
            <xm:f>NOT(ISERROR(SEARCH($Q$12,Q742)))</xm:f>
            <xm:f>$Q$12</xm:f>
            <x14:dxf/>
          </x14:cfRule>
          <x14:cfRule type="containsText" priority="2750" operator="containsText" id="{629A7241-190E-4E73-9FFA-54A03435557D}">
            <xm:f>NOT(ISERROR(SEARCH($Q$12,Q742)))</xm:f>
            <xm:f>$Q$12</xm:f>
            <x14:dxf>
              <fill>
                <patternFill>
                  <bgColor rgb="FF00B050"/>
                </patternFill>
              </fill>
            </x14:dxf>
          </x14:cfRule>
          <x14:cfRule type="containsText" priority="2748" operator="containsText" id="{E05E8FB5-2FC4-4ABB-89ED-42B9FAD7A858}">
            <xm:f>NOT(ISERROR(SEARCH($Q$12,Q742)))</xm:f>
            <xm:f>$Q$12</xm:f>
            <x14:dxf>
              <fill>
                <patternFill>
                  <bgColor theme="9" tint="0.79998168889431442"/>
                </patternFill>
              </fill>
            </x14:dxf>
          </x14:cfRule>
          <x14:cfRule type="containsText" priority="2749" operator="containsText" id="{D80989B1-2DAD-4040-91E4-4B32EE6CFAEC}">
            <xm:f>NOT(ISERROR(SEARCH($Q$12,Q742)))</xm:f>
            <xm:f>$Q$12</xm:f>
            <x14:dxf>
              <fill>
                <patternFill>
                  <bgColor theme="9" tint="0.39994506668294322"/>
                </patternFill>
              </fill>
            </x14:dxf>
          </x14:cfRule>
          <x14:cfRule type="containsText" priority="2747" operator="containsText" id="{790A176E-9827-42EE-8BA6-A25759C77901}">
            <xm:f>NOT(ISERROR(SEARCH($Q$12,Q742)))</xm:f>
            <xm:f>$Q$12</xm:f>
            <x14:dxf>
              <fill>
                <patternFill>
                  <bgColor rgb="FFFFFF00"/>
                </patternFill>
              </fill>
            </x14:dxf>
          </x14:cfRule>
          <xm:sqref>Q742</xm:sqref>
        </x14:conditionalFormatting>
        <x14:conditionalFormatting xmlns:xm="http://schemas.microsoft.com/office/excel/2006/main">
          <x14:cfRule type="containsText" priority="2710" operator="containsText" id="{9C258777-784A-4A6A-84C9-962B70E9E858}">
            <xm:f>NOT(ISERROR(SEARCH($Q$12,Q752)))</xm:f>
            <xm:f>$Q$12</xm:f>
            <x14:dxf>
              <fill>
                <patternFill>
                  <bgColor rgb="FFFFC000"/>
                </patternFill>
              </fill>
            </x14:dxf>
          </x14:cfRule>
          <x14:cfRule type="containsText" priority="2709" operator="containsText" id="{9CC42702-23D1-4104-84AC-34FE80F499E4}">
            <xm:f>NOT(ISERROR(SEARCH($Q$12,Q752)))</xm:f>
            <xm:f>$Q$12</xm:f>
            <x14:dxf>
              <fill>
                <patternFill>
                  <bgColor rgb="FFFFFF00"/>
                </patternFill>
              </fill>
            </x14:dxf>
          </x14:cfRule>
          <x14:cfRule type="containsText" priority="2708" operator="containsText" id="{C8F3A444-5C10-49ED-AA11-6F41F58372A3}">
            <xm:f>NOT(ISERROR(SEARCH($Q$12,Q752)))</xm:f>
            <xm:f>$Q$12</xm:f>
            <x14:dxf>
              <fill>
                <patternFill>
                  <bgColor theme="9"/>
                </patternFill>
              </fill>
            </x14:dxf>
          </x14:cfRule>
          <x14:cfRule type="containsText" priority="2707" operator="containsText" id="{011A2D61-2CC7-478A-B471-7F36EECBC0E5}">
            <xm:f>NOT(ISERROR(SEARCH($Q$12,Q752)))</xm:f>
            <xm:f>$Q$12</xm:f>
            <x14:dxf>
              <fill>
                <patternFill>
                  <bgColor theme="9" tint="0.59996337778862885"/>
                </patternFill>
              </fill>
            </x14:dxf>
          </x14:cfRule>
          <x14:cfRule type="containsText" priority="2705" operator="containsText" id="{76952372-59DA-4860-AFCC-D4842FFEB77D}">
            <xm:f>NOT(ISERROR(SEARCH($Q$12,Q752)))</xm:f>
            <xm:f>$Q$12</xm:f>
            <x14:dxf>
              <fill>
                <patternFill>
                  <bgColor rgb="FFFFC000"/>
                </patternFill>
              </fill>
            </x14:dxf>
          </x14:cfRule>
          <x14:cfRule type="containsText" priority="2704" operator="containsText" id="{310D7F29-2B62-495B-A5D1-FE97D583B5AB}">
            <xm:f>NOT(ISERROR(SEARCH($Q$12,Q752)))</xm:f>
            <xm:f>$Q$12</xm:f>
            <x14:dxf>
              <fill>
                <patternFill>
                  <bgColor rgb="FFFFFF00"/>
                </patternFill>
              </fill>
            </x14:dxf>
          </x14:cfRule>
          <x14:cfRule type="containsText" priority="2703" operator="containsText" id="{E8E7CB66-2686-46A6-9535-C484A135AABF}">
            <xm:f>NOT(ISERROR(SEARCH($Q$12,Q752)))</xm:f>
            <xm:f>$Q$12</xm:f>
            <x14:dxf/>
          </x14:cfRule>
          <x14:cfRule type="containsText" priority="2702" operator="containsText" id="{06A4B8F2-014C-4497-80D2-7863BEF3462B}">
            <xm:f>NOT(ISERROR(SEARCH($Q$12,Q752)))</xm:f>
            <xm:f>$Q$12</xm:f>
            <x14:dxf>
              <fill>
                <patternFill>
                  <bgColor rgb="FF00B050"/>
                </patternFill>
              </fill>
            </x14:dxf>
          </x14:cfRule>
          <x14:cfRule type="containsText" priority="2701" operator="containsText" id="{02AC9796-8942-4AB7-ABFF-EC79BF064A36}">
            <xm:f>NOT(ISERROR(SEARCH($Q$12,Q752)))</xm:f>
            <xm:f>$Q$12</xm:f>
            <x14:dxf>
              <fill>
                <patternFill>
                  <bgColor theme="9" tint="0.39994506668294322"/>
                </patternFill>
              </fill>
            </x14:dxf>
          </x14:cfRule>
          <x14:cfRule type="containsText" priority="2700" operator="containsText" id="{252A8A30-D994-4603-948A-876CFA4F7BAE}">
            <xm:f>NOT(ISERROR(SEARCH($Q$12,Q752)))</xm:f>
            <xm:f>$Q$12</xm:f>
            <x14:dxf>
              <fill>
                <patternFill>
                  <bgColor theme="9" tint="0.79998168889431442"/>
                </patternFill>
              </fill>
            </x14:dxf>
          </x14:cfRule>
          <x14:cfRule type="containsText" priority="2699" operator="containsText" id="{ABD392F7-8E57-470A-813F-49FE11047432}">
            <xm:f>NOT(ISERROR(SEARCH($Q$12,Q752)))</xm:f>
            <xm:f>$Q$12</xm:f>
            <x14:dxf>
              <fill>
                <patternFill>
                  <bgColor rgb="FFFFFF00"/>
                </patternFill>
              </fill>
            </x14:dxf>
          </x14:cfRule>
          <x14:cfRule type="containsText" priority="2706" operator="containsText" id="{39292D86-F9BD-4062-AA8E-F97D30169EB7}">
            <xm:f>NOT(ISERROR(SEARCH($Q$12,Q752)))</xm:f>
            <xm:f>$Q$12</xm:f>
            <x14:dxf>
              <fill>
                <patternFill>
                  <bgColor rgb="FFFF0000"/>
                </patternFill>
              </fill>
            </x14:dxf>
          </x14:cfRule>
          <x14:cfRule type="containsText" priority="2711" operator="containsText" id="{09E068C8-8682-436A-89D7-2D428040D52E}">
            <xm:f>NOT(ISERROR(SEARCH($Q$12,Q752)))</xm:f>
            <xm:f>$Q$12</xm:f>
            <x14:dxf>
              <fill>
                <patternFill>
                  <bgColor rgb="FFFF0000"/>
                </patternFill>
              </fill>
            </x14:dxf>
          </x14:cfRule>
          <xm:sqref>Q752</xm:sqref>
        </x14:conditionalFormatting>
        <x14:conditionalFormatting xmlns:xm="http://schemas.microsoft.com/office/excel/2006/main">
          <x14:cfRule type="containsText" priority="2651" operator="containsText" id="{6ACD6BA1-3B46-49EE-8D0C-F73B0486F609}">
            <xm:f>NOT(ISERROR(SEARCH($Q$12,Q762)))</xm:f>
            <xm:f>$Q$12</xm:f>
            <x14:dxf>
              <fill>
                <patternFill>
                  <bgColor rgb="FFFFFF00"/>
                </patternFill>
              </fill>
            </x14:dxf>
          </x14:cfRule>
          <x14:cfRule type="containsText" priority="2652" operator="containsText" id="{70DA000D-6850-44FB-BF61-F282F2E59C83}">
            <xm:f>NOT(ISERROR(SEARCH($Q$12,Q762)))</xm:f>
            <xm:f>$Q$12</xm:f>
            <x14:dxf>
              <fill>
                <patternFill>
                  <bgColor theme="9" tint="0.79998168889431442"/>
                </patternFill>
              </fill>
            </x14:dxf>
          </x14:cfRule>
          <x14:cfRule type="containsText" priority="2653" operator="containsText" id="{6A089D89-08C2-433B-A495-28400C749304}">
            <xm:f>NOT(ISERROR(SEARCH($Q$12,Q762)))</xm:f>
            <xm:f>$Q$12</xm:f>
            <x14:dxf>
              <fill>
                <patternFill>
                  <bgColor theme="9" tint="0.39994506668294322"/>
                </patternFill>
              </fill>
            </x14:dxf>
          </x14:cfRule>
          <x14:cfRule type="containsText" priority="2654" operator="containsText" id="{53B12438-DFC2-40F0-BE00-C9A7E78AB0C8}">
            <xm:f>NOT(ISERROR(SEARCH($Q$12,Q762)))</xm:f>
            <xm:f>$Q$12</xm:f>
            <x14:dxf>
              <fill>
                <patternFill>
                  <bgColor rgb="FF00B050"/>
                </patternFill>
              </fill>
            </x14:dxf>
          </x14:cfRule>
          <x14:cfRule type="containsText" priority="2655" operator="containsText" id="{A7370D47-BADC-4375-A0AF-1553BB175EDE}">
            <xm:f>NOT(ISERROR(SEARCH($Q$12,Q762)))</xm:f>
            <xm:f>$Q$12</xm:f>
            <x14:dxf/>
          </x14:cfRule>
          <x14:cfRule type="containsText" priority="2656" operator="containsText" id="{060F46B2-3B95-4092-A8E3-527CFEE1D4B0}">
            <xm:f>NOT(ISERROR(SEARCH($Q$12,Q762)))</xm:f>
            <xm:f>$Q$12</xm:f>
            <x14:dxf>
              <fill>
                <patternFill>
                  <bgColor rgb="FFFFFF00"/>
                </patternFill>
              </fill>
            </x14:dxf>
          </x14:cfRule>
          <x14:cfRule type="containsText" priority="2663" operator="containsText" id="{624F88CA-C7B3-4048-9277-BFCF41CD9AEE}">
            <xm:f>NOT(ISERROR(SEARCH($Q$12,Q762)))</xm:f>
            <xm:f>$Q$12</xm:f>
            <x14:dxf>
              <fill>
                <patternFill>
                  <bgColor rgb="FFFF0000"/>
                </patternFill>
              </fill>
            </x14:dxf>
          </x14:cfRule>
          <x14:cfRule type="containsText" priority="2662" operator="containsText" id="{EDC78249-3613-4E02-9962-B6E3C83D4D41}">
            <xm:f>NOT(ISERROR(SEARCH($Q$12,Q762)))</xm:f>
            <xm:f>$Q$12</xm:f>
            <x14:dxf>
              <fill>
                <patternFill>
                  <bgColor rgb="FFFFC000"/>
                </patternFill>
              </fill>
            </x14:dxf>
          </x14:cfRule>
          <x14:cfRule type="containsText" priority="2661" operator="containsText" id="{E0E9F65E-6A15-47EF-90C4-E0E15B96A512}">
            <xm:f>NOT(ISERROR(SEARCH($Q$12,Q762)))</xm:f>
            <xm:f>$Q$12</xm:f>
            <x14:dxf>
              <fill>
                <patternFill>
                  <bgColor rgb="FFFFFF00"/>
                </patternFill>
              </fill>
            </x14:dxf>
          </x14:cfRule>
          <x14:cfRule type="containsText" priority="2660" operator="containsText" id="{5B195818-A8EF-48ED-AFA7-F9630F14AAE6}">
            <xm:f>NOT(ISERROR(SEARCH($Q$12,Q762)))</xm:f>
            <xm:f>$Q$12</xm:f>
            <x14:dxf>
              <fill>
                <patternFill>
                  <bgColor theme="9"/>
                </patternFill>
              </fill>
            </x14:dxf>
          </x14:cfRule>
          <x14:cfRule type="containsText" priority="2659" operator="containsText" id="{DD67E17E-C42F-4F7A-AB2B-54F9115DB0AE}">
            <xm:f>NOT(ISERROR(SEARCH($Q$12,Q762)))</xm:f>
            <xm:f>$Q$12</xm:f>
            <x14:dxf>
              <fill>
                <patternFill>
                  <bgColor theme="9" tint="0.59996337778862885"/>
                </patternFill>
              </fill>
            </x14:dxf>
          </x14:cfRule>
          <x14:cfRule type="containsText" priority="2658" operator="containsText" id="{32E9C37E-72AA-49D4-9BC8-5350EB928060}">
            <xm:f>NOT(ISERROR(SEARCH($Q$12,Q762)))</xm:f>
            <xm:f>$Q$12</xm:f>
            <x14:dxf>
              <fill>
                <patternFill>
                  <bgColor rgb="FFFF0000"/>
                </patternFill>
              </fill>
            </x14:dxf>
          </x14:cfRule>
          <x14:cfRule type="containsText" priority="2657" operator="containsText" id="{5E777CE3-0FF7-49C6-B058-6EA086324A58}">
            <xm:f>NOT(ISERROR(SEARCH($Q$12,Q762)))</xm:f>
            <xm:f>$Q$12</xm:f>
            <x14:dxf>
              <fill>
                <patternFill>
                  <bgColor rgb="FFFFC000"/>
                </patternFill>
              </fill>
            </x14:dxf>
          </x14:cfRule>
          <xm:sqref>Q762</xm:sqref>
        </x14:conditionalFormatting>
        <x14:conditionalFormatting xmlns:xm="http://schemas.microsoft.com/office/excel/2006/main">
          <x14:cfRule type="containsText" priority="2604" operator="containsText" id="{24FDAAB9-C0C6-40EF-83B0-6182FA5853A8}">
            <xm:f>NOT(ISERROR(SEARCH($Q$12,Q772)))</xm:f>
            <xm:f>$Q$12</xm:f>
            <x14:dxf>
              <fill>
                <patternFill>
                  <bgColor theme="9" tint="0.79998168889431442"/>
                </patternFill>
              </fill>
            </x14:dxf>
          </x14:cfRule>
          <x14:cfRule type="containsText" priority="2609" operator="containsText" id="{83ACF6EA-4B54-47CE-81F1-CB36E05C9DC6}">
            <xm:f>NOT(ISERROR(SEARCH($Q$12,Q772)))</xm:f>
            <xm:f>$Q$12</xm:f>
            <x14:dxf>
              <fill>
                <patternFill>
                  <bgColor rgb="FFFFC000"/>
                </patternFill>
              </fill>
            </x14:dxf>
          </x14:cfRule>
          <x14:cfRule type="containsText" priority="2603" operator="containsText" id="{DCF59F4B-E716-4ABE-8BD2-30E97B8BDB73}">
            <xm:f>NOT(ISERROR(SEARCH($Q$12,Q772)))</xm:f>
            <xm:f>$Q$12</xm:f>
            <x14:dxf>
              <fill>
                <patternFill>
                  <bgColor rgb="FFFFFF00"/>
                </patternFill>
              </fill>
            </x14:dxf>
          </x14:cfRule>
          <x14:cfRule type="containsText" priority="2614" operator="containsText" id="{4FB96E8C-667B-4C77-925B-C2184DEEAC60}">
            <xm:f>NOT(ISERROR(SEARCH($Q$12,Q772)))</xm:f>
            <xm:f>$Q$12</xm:f>
            <x14:dxf>
              <fill>
                <patternFill>
                  <bgColor rgb="FFFFC000"/>
                </patternFill>
              </fill>
            </x14:dxf>
          </x14:cfRule>
          <x14:cfRule type="containsText" priority="2615" operator="containsText" id="{801A0598-3321-40BC-A683-F148A4BCEFE5}">
            <xm:f>NOT(ISERROR(SEARCH($Q$12,Q772)))</xm:f>
            <xm:f>$Q$12</xm:f>
            <x14:dxf>
              <fill>
                <patternFill>
                  <bgColor rgb="FFFF0000"/>
                </patternFill>
              </fill>
            </x14:dxf>
          </x14:cfRule>
          <x14:cfRule type="containsText" priority="2608" operator="containsText" id="{B9FBEBBC-BDA1-4ED9-8BE9-3B3F8307C818}">
            <xm:f>NOT(ISERROR(SEARCH($Q$12,Q772)))</xm:f>
            <xm:f>$Q$12</xm:f>
            <x14:dxf>
              <fill>
                <patternFill>
                  <bgColor rgb="FFFFFF00"/>
                </patternFill>
              </fill>
            </x14:dxf>
          </x14:cfRule>
          <x14:cfRule type="containsText" priority="2610" operator="containsText" id="{CFF8EEDD-124B-45CF-8D51-B7EC39AE838F}">
            <xm:f>NOT(ISERROR(SEARCH($Q$12,Q772)))</xm:f>
            <xm:f>$Q$12</xm:f>
            <x14:dxf>
              <fill>
                <patternFill>
                  <bgColor rgb="FFFF0000"/>
                </patternFill>
              </fill>
            </x14:dxf>
          </x14:cfRule>
          <x14:cfRule type="containsText" priority="2611" operator="containsText" id="{2F67EF6E-473A-4B8A-A366-F68AF3C600DB}">
            <xm:f>NOT(ISERROR(SEARCH($Q$12,Q772)))</xm:f>
            <xm:f>$Q$12</xm:f>
            <x14:dxf>
              <fill>
                <patternFill>
                  <bgColor theme="9" tint="0.59996337778862885"/>
                </patternFill>
              </fill>
            </x14:dxf>
          </x14:cfRule>
          <x14:cfRule type="containsText" priority="2612" operator="containsText" id="{333646AE-07D5-43A6-A2A7-5448897E108B}">
            <xm:f>NOT(ISERROR(SEARCH($Q$12,Q772)))</xm:f>
            <xm:f>$Q$12</xm:f>
            <x14:dxf>
              <fill>
                <patternFill>
                  <bgColor theme="9"/>
                </patternFill>
              </fill>
            </x14:dxf>
          </x14:cfRule>
          <x14:cfRule type="containsText" priority="2605" operator="containsText" id="{1A50323D-490A-48D4-9D21-B002E6AA853A}">
            <xm:f>NOT(ISERROR(SEARCH($Q$12,Q772)))</xm:f>
            <xm:f>$Q$12</xm:f>
            <x14:dxf>
              <fill>
                <patternFill>
                  <bgColor theme="9" tint="0.39994506668294322"/>
                </patternFill>
              </fill>
            </x14:dxf>
          </x14:cfRule>
          <x14:cfRule type="containsText" priority="2606" operator="containsText" id="{A763BEF5-03BD-4643-AC9B-6C17BEFD531B}">
            <xm:f>NOT(ISERROR(SEARCH($Q$12,Q772)))</xm:f>
            <xm:f>$Q$12</xm:f>
            <x14:dxf>
              <fill>
                <patternFill>
                  <bgColor rgb="FF00B050"/>
                </patternFill>
              </fill>
            </x14:dxf>
          </x14:cfRule>
          <x14:cfRule type="containsText" priority="2607" operator="containsText" id="{BAD7ACA5-ED18-416D-96B1-268E7BF0274E}">
            <xm:f>NOT(ISERROR(SEARCH($Q$12,Q772)))</xm:f>
            <xm:f>$Q$12</xm:f>
            <x14:dxf/>
          </x14:cfRule>
          <x14:cfRule type="containsText" priority="2613" operator="containsText" id="{3F7503A5-9494-4382-B63A-FE6D36E143BA}">
            <xm:f>NOT(ISERROR(SEARCH($Q$12,Q772)))</xm:f>
            <xm:f>$Q$12</xm:f>
            <x14:dxf>
              <fill>
                <patternFill>
                  <bgColor rgb="FFFFFF00"/>
                </patternFill>
              </fill>
            </x14:dxf>
          </x14:cfRule>
          <xm:sqref>Q772</xm:sqref>
        </x14:conditionalFormatting>
        <x14:conditionalFormatting xmlns:xm="http://schemas.microsoft.com/office/excel/2006/main">
          <x14:cfRule type="containsText" priority="2558" operator="containsText" id="{ADF1D619-7A6A-448A-8B74-1B67EA533602}">
            <xm:f>NOT(ISERROR(SEARCH($Q$12,Q782)))</xm:f>
            <xm:f>$Q$12</xm:f>
            <x14:dxf>
              <fill>
                <patternFill>
                  <bgColor rgb="FF00B050"/>
                </patternFill>
              </fill>
            </x14:dxf>
          </x14:cfRule>
          <x14:cfRule type="containsText" priority="2559" operator="containsText" id="{892FE2C7-0D5A-40C4-AAD5-2809C8BFF0A1}">
            <xm:f>NOT(ISERROR(SEARCH($Q$12,Q782)))</xm:f>
            <xm:f>$Q$12</xm:f>
            <x14:dxf/>
          </x14:cfRule>
          <x14:cfRule type="containsText" priority="2560" operator="containsText" id="{05622F93-F646-439A-B3D7-DB3A6CB5A934}">
            <xm:f>NOT(ISERROR(SEARCH($Q$12,Q782)))</xm:f>
            <xm:f>$Q$12</xm:f>
            <x14:dxf>
              <fill>
                <patternFill>
                  <bgColor rgb="FFFFFF00"/>
                </patternFill>
              </fill>
            </x14:dxf>
          </x14:cfRule>
          <x14:cfRule type="containsText" priority="2561" operator="containsText" id="{7A058E2C-A008-4CB2-941C-950EEBDB0FF6}">
            <xm:f>NOT(ISERROR(SEARCH($Q$12,Q782)))</xm:f>
            <xm:f>$Q$12</xm:f>
            <x14:dxf>
              <fill>
                <patternFill>
                  <bgColor rgb="FFFFC000"/>
                </patternFill>
              </fill>
            </x14:dxf>
          </x14:cfRule>
          <x14:cfRule type="containsText" priority="2562" operator="containsText" id="{5AF43302-4C98-465E-8979-63813D1E4E8C}">
            <xm:f>NOT(ISERROR(SEARCH($Q$12,Q782)))</xm:f>
            <xm:f>$Q$12</xm:f>
            <x14:dxf>
              <fill>
                <patternFill>
                  <bgColor rgb="FFFF0000"/>
                </patternFill>
              </fill>
            </x14:dxf>
          </x14:cfRule>
          <x14:cfRule type="containsText" priority="2555" operator="containsText" id="{05E3E739-4AFE-49CD-B7DD-57A792082A08}">
            <xm:f>NOT(ISERROR(SEARCH($Q$12,Q782)))</xm:f>
            <xm:f>$Q$12</xm:f>
            <x14:dxf>
              <fill>
                <patternFill>
                  <bgColor rgb="FFFFFF00"/>
                </patternFill>
              </fill>
            </x14:dxf>
          </x14:cfRule>
          <x14:cfRule type="containsText" priority="2563" operator="containsText" id="{8F0F42D2-9838-4F5B-8A00-A606D09B26DB}">
            <xm:f>NOT(ISERROR(SEARCH($Q$12,Q782)))</xm:f>
            <xm:f>$Q$12</xm:f>
            <x14:dxf>
              <fill>
                <patternFill>
                  <bgColor theme="9" tint="0.59996337778862885"/>
                </patternFill>
              </fill>
            </x14:dxf>
          </x14:cfRule>
          <x14:cfRule type="containsText" priority="2564" operator="containsText" id="{0134B29B-B9A2-4301-B5A8-77A83B3AAB96}">
            <xm:f>NOT(ISERROR(SEARCH($Q$12,Q782)))</xm:f>
            <xm:f>$Q$12</xm:f>
            <x14:dxf>
              <fill>
                <patternFill>
                  <bgColor theme="9"/>
                </patternFill>
              </fill>
            </x14:dxf>
          </x14:cfRule>
          <x14:cfRule type="containsText" priority="2565" operator="containsText" id="{F33B7D9D-374E-4B84-AA14-00ABB1549B4F}">
            <xm:f>NOT(ISERROR(SEARCH($Q$12,Q782)))</xm:f>
            <xm:f>$Q$12</xm:f>
            <x14:dxf>
              <fill>
                <patternFill>
                  <bgColor rgb="FFFFFF00"/>
                </patternFill>
              </fill>
            </x14:dxf>
          </x14:cfRule>
          <x14:cfRule type="containsText" priority="2567" operator="containsText" id="{D17A0FC6-86D7-4505-AD75-030D152DE558}">
            <xm:f>NOT(ISERROR(SEARCH($Q$12,Q782)))</xm:f>
            <xm:f>$Q$12</xm:f>
            <x14:dxf>
              <fill>
                <patternFill>
                  <bgColor rgb="FFFF0000"/>
                </patternFill>
              </fill>
            </x14:dxf>
          </x14:cfRule>
          <x14:cfRule type="containsText" priority="2566" operator="containsText" id="{0FA12803-A5A0-4A8C-8B3D-3D36D3C63E35}">
            <xm:f>NOT(ISERROR(SEARCH($Q$12,Q782)))</xm:f>
            <xm:f>$Q$12</xm:f>
            <x14:dxf>
              <fill>
                <patternFill>
                  <bgColor rgb="FFFFC000"/>
                </patternFill>
              </fill>
            </x14:dxf>
          </x14:cfRule>
          <x14:cfRule type="containsText" priority="2556" operator="containsText" id="{9B9A987F-4B23-495B-9FE2-0B0381CE7C0A}">
            <xm:f>NOT(ISERROR(SEARCH($Q$12,Q782)))</xm:f>
            <xm:f>$Q$12</xm:f>
            <x14:dxf>
              <fill>
                <patternFill>
                  <bgColor theme="9" tint="0.79998168889431442"/>
                </patternFill>
              </fill>
            </x14:dxf>
          </x14:cfRule>
          <x14:cfRule type="containsText" priority="2557" operator="containsText" id="{8F5301BA-BFDA-442C-B95D-C6707D3C8092}">
            <xm:f>NOT(ISERROR(SEARCH($Q$12,Q782)))</xm:f>
            <xm:f>$Q$12</xm:f>
            <x14:dxf>
              <fill>
                <patternFill>
                  <bgColor theme="9" tint="0.39994506668294322"/>
                </patternFill>
              </fill>
            </x14:dxf>
          </x14:cfRule>
          <xm:sqref>Q782</xm:sqref>
        </x14:conditionalFormatting>
        <x14:conditionalFormatting xmlns:xm="http://schemas.microsoft.com/office/excel/2006/main">
          <x14:cfRule type="containsText" priority="2513" operator="containsText" id="{EF079CA7-05FF-4712-A610-21CD88057A0A}">
            <xm:f>NOT(ISERROR(SEARCH($Q$12,Q792)))</xm:f>
            <xm:f>$Q$12</xm:f>
            <x14:dxf>
              <fill>
                <patternFill>
                  <bgColor rgb="FFFFC000"/>
                </patternFill>
              </fill>
            </x14:dxf>
          </x14:cfRule>
          <x14:cfRule type="containsText" priority="2512" operator="containsText" id="{C82E6D14-F4DA-4DC4-B701-9A80BB8DE84B}">
            <xm:f>NOT(ISERROR(SEARCH($Q$12,Q792)))</xm:f>
            <xm:f>$Q$12</xm:f>
            <x14:dxf>
              <fill>
                <patternFill>
                  <bgColor rgb="FFFFFF00"/>
                </patternFill>
              </fill>
            </x14:dxf>
          </x14:cfRule>
          <x14:cfRule type="containsText" priority="2511" operator="containsText" id="{DBDA88BD-663D-4DA0-BDAD-6F4D33E34DE1}">
            <xm:f>NOT(ISERROR(SEARCH($Q$12,Q792)))</xm:f>
            <xm:f>$Q$12</xm:f>
            <x14:dxf/>
          </x14:cfRule>
          <x14:cfRule type="containsText" priority="2510" operator="containsText" id="{07A33C6B-1F9B-4293-9C6B-31E69630BB92}">
            <xm:f>NOT(ISERROR(SEARCH($Q$12,Q792)))</xm:f>
            <xm:f>$Q$12</xm:f>
            <x14:dxf>
              <fill>
                <patternFill>
                  <bgColor rgb="FF00B050"/>
                </patternFill>
              </fill>
            </x14:dxf>
          </x14:cfRule>
          <x14:cfRule type="containsText" priority="2519" operator="containsText" id="{F2F5549B-485D-412B-A4E3-4BB31C8B7E8F}">
            <xm:f>NOT(ISERROR(SEARCH($Q$12,Q792)))</xm:f>
            <xm:f>$Q$12</xm:f>
            <x14:dxf>
              <fill>
                <patternFill>
                  <bgColor rgb="FFFF0000"/>
                </patternFill>
              </fill>
            </x14:dxf>
          </x14:cfRule>
          <x14:cfRule type="containsText" priority="2518" operator="containsText" id="{5ABFAE0B-319A-46B4-8FC8-254CAE65B6ED}">
            <xm:f>NOT(ISERROR(SEARCH($Q$12,Q792)))</xm:f>
            <xm:f>$Q$12</xm:f>
            <x14:dxf>
              <fill>
                <patternFill>
                  <bgColor rgb="FFFFC000"/>
                </patternFill>
              </fill>
            </x14:dxf>
          </x14:cfRule>
          <x14:cfRule type="containsText" priority="2517" operator="containsText" id="{30BE8DF7-AA4E-44BA-B794-6544DE50463E}">
            <xm:f>NOT(ISERROR(SEARCH($Q$12,Q792)))</xm:f>
            <xm:f>$Q$12</xm:f>
            <x14:dxf>
              <fill>
                <patternFill>
                  <bgColor rgb="FFFFFF00"/>
                </patternFill>
              </fill>
            </x14:dxf>
          </x14:cfRule>
          <x14:cfRule type="containsText" priority="2514" operator="containsText" id="{16BD5C8D-AAB0-453D-ABB3-AACBD24CF5B2}">
            <xm:f>NOT(ISERROR(SEARCH($Q$12,Q792)))</xm:f>
            <xm:f>$Q$12</xm:f>
            <x14:dxf>
              <fill>
                <patternFill>
                  <bgColor rgb="FFFF0000"/>
                </patternFill>
              </fill>
            </x14:dxf>
          </x14:cfRule>
          <x14:cfRule type="containsText" priority="2516" operator="containsText" id="{3C502580-07BC-4F18-B88A-F3A820EB3E83}">
            <xm:f>NOT(ISERROR(SEARCH($Q$12,Q792)))</xm:f>
            <xm:f>$Q$12</xm:f>
            <x14:dxf>
              <fill>
                <patternFill>
                  <bgColor theme="9"/>
                </patternFill>
              </fill>
            </x14:dxf>
          </x14:cfRule>
          <x14:cfRule type="containsText" priority="2508" operator="containsText" id="{2041340C-DFCC-4C35-97CB-291BD11F5A9D}">
            <xm:f>NOT(ISERROR(SEARCH($Q$12,Q792)))</xm:f>
            <xm:f>$Q$12</xm:f>
            <x14:dxf>
              <fill>
                <patternFill>
                  <bgColor theme="9" tint="0.79998168889431442"/>
                </patternFill>
              </fill>
            </x14:dxf>
          </x14:cfRule>
          <x14:cfRule type="containsText" priority="2507" operator="containsText" id="{11B96121-BEFA-45B5-9DF5-FA7FB7EDB651}">
            <xm:f>NOT(ISERROR(SEARCH($Q$12,Q792)))</xm:f>
            <xm:f>$Q$12</xm:f>
            <x14:dxf>
              <fill>
                <patternFill>
                  <bgColor rgb="FFFFFF00"/>
                </patternFill>
              </fill>
            </x14:dxf>
          </x14:cfRule>
          <x14:cfRule type="containsText" priority="2509" operator="containsText" id="{F7A0E121-8DB7-4B1A-9BA1-23384D4ECA48}">
            <xm:f>NOT(ISERROR(SEARCH($Q$12,Q792)))</xm:f>
            <xm:f>$Q$12</xm:f>
            <x14:dxf>
              <fill>
                <patternFill>
                  <bgColor theme="9" tint="0.39994506668294322"/>
                </patternFill>
              </fill>
            </x14:dxf>
          </x14:cfRule>
          <x14:cfRule type="containsText" priority="2515" operator="containsText" id="{2BD73D7C-CF3B-4013-9028-779D20FB460D}">
            <xm:f>NOT(ISERROR(SEARCH($Q$12,Q792)))</xm:f>
            <xm:f>$Q$12</xm:f>
            <x14:dxf>
              <fill>
                <patternFill>
                  <bgColor theme="9" tint="0.59996337778862885"/>
                </patternFill>
              </fill>
            </x14:dxf>
          </x14:cfRule>
          <xm:sqref>Q792</xm:sqref>
        </x14:conditionalFormatting>
        <x14:conditionalFormatting xmlns:xm="http://schemas.microsoft.com/office/excel/2006/main">
          <x14:cfRule type="containsText" priority="2470" operator="containsText" id="{4323C73F-6FFB-4F05-8EE1-911EA700EB53}">
            <xm:f>NOT(ISERROR(SEARCH($Q$12,Q802)))</xm:f>
            <xm:f>$Q$12</xm:f>
            <x14:dxf>
              <fill>
                <patternFill>
                  <bgColor rgb="FFFFC000"/>
                </patternFill>
              </fill>
            </x14:dxf>
          </x14:cfRule>
          <x14:cfRule type="containsText" priority="2471" operator="containsText" id="{3DF965E2-7062-4618-BD26-0CBED516B76E}">
            <xm:f>NOT(ISERROR(SEARCH($Q$12,Q802)))</xm:f>
            <xm:f>$Q$12</xm:f>
            <x14:dxf>
              <fill>
                <patternFill>
                  <bgColor rgb="FFFF0000"/>
                </patternFill>
              </fill>
            </x14:dxf>
          </x14:cfRule>
          <x14:cfRule type="containsText" priority="2468" operator="containsText" id="{B204767F-CE92-4528-A750-1A77383D1E32}">
            <xm:f>NOT(ISERROR(SEARCH($Q$12,Q802)))</xm:f>
            <xm:f>$Q$12</xm:f>
            <x14:dxf>
              <fill>
                <patternFill>
                  <bgColor theme="9"/>
                </patternFill>
              </fill>
            </x14:dxf>
          </x14:cfRule>
          <x14:cfRule type="containsText" priority="2467" operator="containsText" id="{16FB0C5F-44B6-4201-B5E1-573BD05803D7}">
            <xm:f>NOT(ISERROR(SEARCH($Q$12,Q802)))</xm:f>
            <xm:f>$Q$12</xm:f>
            <x14:dxf>
              <fill>
                <patternFill>
                  <bgColor theme="9" tint="0.59996337778862885"/>
                </patternFill>
              </fill>
            </x14:dxf>
          </x14:cfRule>
          <x14:cfRule type="containsText" priority="2469" operator="containsText" id="{25604B99-D89B-48AA-BB41-1B8E04AE66F7}">
            <xm:f>NOT(ISERROR(SEARCH($Q$12,Q802)))</xm:f>
            <xm:f>$Q$12</xm:f>
            <x14:dxf>
              <fill>
                <patternFill>
                  <bgColor rgb="FFFFFF00"/>
                </patternFill>
              </fill>
            </x14:dxf>
          </x14:cfRule>
          <x14:cfRule type="containsText" priority="2459" operator="containsText" id="{7C8BB0EF-FA5B-4B4D-A5F7-31DAC0C17F41}">
            <xm:f>NOT(ISERROR(SEARCH($Q$12,Q802)))</xm:f>
            <xm:f>$Q$12</xm:f>
            <x14:dxf>
              <fill>
                <patternFill>
                  <bgColor rgb="FFFFFF00"/>
                </patternFill>
              </fill>
            </x14:dxf>
          </x14:cfRule>
          <x14:cfRule type="containsText" priority="2460" operator="containsText" id="{C15B3FC3-B4BE-40D0-9B6A-7AC3BD5F55B1}">
            <xm:f>NOT(ISERROR(SEARCH($Q$12,Q802)))</xm:f>
            <xm:f>$Q$12</xm:f>
            <x14:dxf>
              <fill>
                <patternFill>
                  <bgColor theme="9" tint="0.79998168889431442"/>
                </patternFill>
              </fill>
            </x14:dxf>
          </x14:cfRule>
          <x14:cfRule type="containsText" priority="2461" operator="containsText" id="{28401F88-AB69-470C-B29F-E8BCF81310AC}">
            <xm:f>NOT(ISERROR(SEARCH($Q$12,Q802)))</xm:f>
            <xm:f>$Q$12</xm:f>
            <x14:dxf>
              <fill>
                <patternFill>
                  <bgColor theme="9" tint="0.39994506668294322"/>
                </patternFill>
              </fill>
            </x14:dxf>
          </x14:cfRule>
          <x14:cfRule type="containsText" priority="2462" operator="containsText" id="{DB78B8CD-1A1F-4C91-9ABA-D2188EA6F6C7}">
            <xm:f>NOT(ISERROR(SEARCH($Q$12,Q802)))</xm:f>
            <xm:f>$Q$12</xm:f>
            <x14:dxf>
              <fill>
                <patternFill>
                  <bgColor rgb="FF00B050"/>
                </patternFill>
              </fill>
            </x14:dxf>
          </x14:cfRule>
          <x14:cfRule type="containsText" priority="2463" operator="containsText" id="{3FA576B6-D030-4163-A459-D3F1C122AAE8}">
            <xm:f>NOT(ISERROR(SEARCH($Q$12,Q802)))</xm:f>
            <xm:f>$Q$12</xm:f>
            <x14:dxf/>
          </x14:cfRule>
          <x14:cfRule type="containsText" priority="2464" operator="containsText" id="{99538E4D-30E5-40F2-A066-91DE5462EA18}">
            <xm:f>NOT(ISERROR(SEARCH($Q$12,Q802)))</xm:f>
            <xm:f>$Q$12</xm:f>
            <x14:dxf>
              <fill>
                <patternFill>
                  <bgColor rgb="FFFFFF00"/>
                </patternFill>
              </fill>
            </x14:dxf>
          </x14:cfRule>
          <x14:cfRule type="containsText" priority="2465" operator="containsText" id="{02129C51-DE9F-4769-A2BC-8D912736F8C3}">
            <xm:f>NOT(ISERROR(SEARCH($Q$12,Q802)))</xm:f>
            <xm:f>$Q$12</xm:f>
            <x14:dxf>
              <fill>
                <patternFill>
                  <bgColor rgb="FFFFC000"/>
                </patternFill>
              </fill>
            </x14:dxf>
          </x14:cfRule>
          <x14:cfRule type="containsText" priority="2466" operator="containsText" id="{C6A6591F-D5B0-4B44-B79A-E49C518D311E}">
            <xm:f>NOT(ISERROR(SEARCH($Q$12,Q802)))</xm:f>
            <xm:f>$Q$12</xm:f>
            <x14:dxf>
              <fill>
                <patternFill>
                  <bgColor rgb="FFFF0000"/>
                </patternFill>
              </fill>
            </x14:dxf>
          </x14:cfRule>
          <xm:sqref>Q802</xm:sqref>
        </x14:conditionalFormatting>
        <x14:conditionalFormatting xmlns:xm="http://schemas.microsoft.com/office/excel/2006/main">
          <x14:cfRule type="containsText" priority="2027" operator="containsText" id="{2C147B2D-A53B-42F9-BF4D-04C5874BF502}">
            <xm:f>NOT(ISERROR(SEARCH($Q$12,Q812)))</xm:f>
            <xm:f>$Q$12</xm:f>
            <x14:dxf>
              <fill>
                <patternFill>
                  <bgColor theme="9" tint="0.59996337778862885"/>
                </patternFill>
              </fill>
            </x14:dxf>
          </x14:cfRule>
          <x14:cfRule type="containsText" priority="2028" operator="containsText" id="{85310D61-F24C-4F39-A884-D546FD0CE5B4}">
            <xm:f>NOT(ISERROR(SEARCH($Q$12,Q812)))</xm:f>
            <xm:f>$Q$12</xm:f>
            <x14:dxf>
              <fill>
                <patternFill>
                  <bgColor theme="9"/>
                </patternFill>
              </fill>
            </x14:dxf>
          </x14:cfRule>
          <x14:cfRule type="containsText" priority="2024" operator="containsText" id="{1C962983-CC0B-4EC5-AA13-17A59178C3DA}">
            <xm:f>NOT(ISERROR(SEARCH($Q$12,Q812)))</xm:f>
            <xm:f>$Q$12</xm:f>
            <x14:dxf>
              <fill>
                <patternFill>
                  <bgColor rgb="FFFFFF00"/>
                </patternFill>
              </fill>
            </x14:dxf>
          </x14:cfRule>
          <x14:cfRule type="containsText" priority="2023" operator="containsText" id="{172B8990-78BE-4D32-BAC8-7CF3DB5831C4}">
            <xm:f>NOT(ISERROR(SEARCH($Q$12,Q812)))</xm:f>
            <xm:f>$Q$12</xm:f>
            <x14:dxf/>
          </x14:cfRule>
          <x14:cfRule type="containsText" priority="2022" operator="containsText" id="{65A0715D-4E31-42CB-9D4E-6AE845C332C9}">
            <xm:f>NOT(ISERROR(SEARCH($Q$12,Q812)))</xm:f>
            <xm:f>$Q$12</xm:f>
            <x14:dxf>
              <fill>
                <patternFill>
                  <bgColor rgb="FF00B050"/>
                </patternFill>
              </fill>
            </x14:dxf>
          </x14:cfRule>
          <x14:cfRule type="containsText" priority="2021" operator="containsText" id="{EF4A2E40-3DC0-4D98-A196-1E7EDBE05DA4}">
            <xm:f>NOT(ISERROR(SEARCH($Q$12,Q812)))</xm:f>
            <xm:f>$Q$12</xm:f>
            <x14:dxf>
              <fill>
                <patternFill>
                  <bgColor theme="9" tint="0.39994506668294322"/>
                </patternFill>
              </fill>
            </x14:dxf>
          </x14:cfRule>
          <x14:cfRule type="containsText" priority="2020" operator="containsText" id="{69D165A9-9774-4E58-B4B6-D06743F0B871}">
            <xm:f>NOT(ISERROR(SEARCH($Q$12,Q812)))</xm:f>
            <xm:f>$Q$12</xm:f>
            <x14:dxf>
              <fill>
                <patternFill>
                  <bgColor theme="9" tint="0.79998168889431442"/>
                </patternFill>
              </fill>
            </x14:dxf>
          </x14:cfRule>
          <x14:cfRule type="containsText" priority="2019" operator="containsText" id="{F78D5267-1D1A-4FE8-99A4-0E3870041F08}">
            <xm:f>NOT(ISERROR(SEARCH($Q$12,Q812)))</xm:f>
            <xm:f>$Q$12</xm:f>
            <x14:dxf>
              <fill>
                <patternFill>
                  <bgColor rgb="FFFFFF00"/>
                </patternFill>
              </fill>
            </x14:dxf>
          </x14:cfRule>
          <x14:cfRule type="containsText" priority="2029" operator="containsText" id="{CF816AF6-29D9-458F-A37F-9DB20AA71B35}">
            <xm:f>NOT(ISERROR(SEARCH($Q$12,Q812)))</xm:f>
            <xm:f>$Q$12</xm:f>
            <x14:dxf>
              <fill>
                <patternFill>
                  <bgColor rgb="FFFFFF00"/>
                </patternFill>
              </fill>
            </x14:dxf>
          </x14:cfRule>
          <x14:cfRule type="containsText" priority="2030" operator="containsText" id="{B3B36C0B-35C8-4AE1-A536-14C289F49BF7}">
            <xm:f>NOT(ISERROR(SEARCH($Q$12,Q812)))</xm:f>
            <xm:f>$Q$12</xm:f>
            <x14:dxf>
              <fill>
                <patternFill>
                  <bgColor rgb="FFFFC000"/>
                </patternFill>
              </fill>
            </x14:dxf>
          </x14:cfRule>
          <x14:cfRule type="containsText" priority="2031" operator="containsText" id="{E91E0603-DAFA-4BFC-882F-A997991AF39E}">
            <xm:f>NOT(ISERROR(SEARCH($Q$12,Q812)))</xm:f>
            <xm:f>$Q$12</xm:f>
            <x14:dxf>
              <fill>
                <patternFill>
                  <bgColor rgb="FFFF0000"/>
                </patternFill>
              </fill>
            </x14:dxf>
          </x14:cfRule>
          <x14:cfRule type="containsText" priority="2025" operator="containsText" id="{6243EF17-FD0C-41E9-A6F9-E96550C7A4E2}">
            <xm:f>NOT(ISERROR(SEARCH($Q$12,Q812)))</xm:f>
            <xm:f>$Q$12</xm:f>
            <x14:dxf>
              <fill>
                <patternFill>
                  <bgColor rgb="FFFFC000"/>
                </patternFill>
              </fill>
            </x14:dxf>
          </x14:cfRule>
          <x14:cfRule type="containsText" priority="2026" operator="containsText" id="{4A6E5974-CD2E-4F09-980C-A6065FF9FF01}">
            <xm:f>NOT(ISERROR(SEARCH($Q$12,Q812)))</xm:f>
            <xm:f>$Q$12</xm:f>
            <x14:dxf>
              <fill>
                <patternFill>
                  <bgColor rgb="FFFF0000"/>
                </patternFill>
              </fill>
            </x14:dxf>
          </x14:cfRule>
          <xm:sqref>Q812</xm:sqref>
        </x14:conditionalFormatting>
        <x14:conditionalFormatting xmlns:xm="http://schemas.microsoft.com/office/excel/2006/main">
          <x14:cfRule type="containsText" priority="1983" operator="containsText" id="{BE10DE27-B18E-40FA-95DB-C0B5E4EABF9D}">
            <xm:f>NOT(ISERROR(SEARCH($Q$12,Q822)))</xm:f>
            <xm:f>$Q$12</xm:f>
            <x14:dxf>
              <fill>
                <patternFill>
                  <bgColor rgb="FFFF0000"/>
                </patternFill>
              </fill>
            </x14:dxf>
          </x14:cfRule>
          <x14:cfRule type="containsText" priority="1982" operator="containsText" id="{EAA6A3A1-4556-4F5B-ABC4-2E80D679E7FE}">
            <xm:f>NOT(ISERROR(SEARCH($Q$12,Q822)))</xm:f>
            <xm:f>$Q$12</xm:f>
            <x14:dxf>
              <fill>
                <patternFill>
                  <bgColor rgb="FFFFC000"/>
                </patternFill>
              </fill>
            </x14:dxf>
          </x14:cfRule>
          <x14:cfRule type="containsText" priority="1975" operator="containsText" id="{3AF49543-DA7B-4A22-AA06-5E0D6097D890}">
            <xm:f>NOT(ISERROR(SEARCH($Q$12,Q822)))</xm:f>
            <xm:f>$Q$12</xm:f>
            <x14:dxf/>
          </x14:cfRule>
          <x14:cfRule type="containsText" priority="1976" operator="containsText" id="{AAD39952-E87A-4AF4-8325-40AF96C8E50A}">
            <xm:f>NOT(ISERROR(SEARCH($Q$12,Q822)))</xm:f>
            <xm:f>$Q$12</xm:f>
            <x14:dxf>
              <fill>
                <patternFill>
                  <bgColor rgb="FFFFFF00"/>
                </patternFill>
              </fill>
            </x14:dxf>
          </x14:cfRule>
          <x14:cfRule type="containsText" priority="1977" operator="containsText" id="{E19A7B01-AB3F-4389-8964-9B1C388DDBC2}">
            <xm:f>NOT(ISERROR(SEARCH($Q$12,Q822)))</xm:f>
            <xm:f>$Q$12</xm:f>
            <x14:dxf>
              <fill>
                <patternFill>
                  <bgColor rgb="FFFFC000"/>
                </patternFill>
              </fill>
            </x14:dxf>
          </x14:cfRule>
          <x14:cfRule type="containsText" priority="1978" operator="containsText" id="{FCC6C7F8-4C7F-4AAA-94EA-941D8E252393}">
            <xm:f>NOT(ISERROR(SEARCH($Q$12,Q822)))</xm:f>
            <xm:f>$Q$12</xm:f>
            <x14:dxf>
              <fill>
                <patternFill>
                  <bgColor rgb="FFFF0000"/>
                </patternFill>
              </fill>
            </x14:dxf>
          </x14:cfRule>
          <x14:cfRule type="containsText" priority="1981" operator="containsText" id="{93104502-0273-4CAC-9621-81A47D2BC079}">
            <xm:f>NOT(ISERROR(SEARCH($Q$12,Q822)))</xm:f>
            <xm:f>$Q$12</xm:f>
            <x14:dxf>
              <fill>
                <patternFill>
                  <bgColor rgb="FFFFFF00"/>
                </patternFill>
              </fill>
            </x14:dxf>
          </x14:cfRule>
          <x14:cfRule type="containsText" priority="1971" operator="containsText" id="{50F024AC-ADB2-480B-9AD5-B20E7BBB8ED6}">
            <xm:f>NOT(ISERROR(SEARCH($Q$12,Q822)))</xm:f>
            <xm:f>$Q$12</xm:f>
            <x14:dxf>
              <fill>
                <patternFill>
                  <bgColor rgb="FFFFFF00"/>
                </patternFill>
              </fill>
            </x14:dxf>
          </x14:cfRule>
          <x14:cfRule type="containsText" priority="1979" operator="containsText" id="{26430540-EE47-4C00-A375-C792AC5C03A5}">
            <xm:f>NOT(ISERROR(SEARCH($Q$12,Q822)))</xm:f>
            <xm:f>$Q$12</xm:f>
            <x14:dxf>
              <fill>
                <patternFill>
                  <bgColor theme="9" tint="0.59996337778862885"/>
                </patternFill>
              </fill>
            </x14:dxf>
          </x14:cfRule>
          <x14:cfRule type="containsText" priority="1972" operator="containsText" id="{C038DCC5-D9E1-4EE6-8AEC-FBF90D689F16}">
            <xm:f>NOT(ISERROR(SEARCH($Q$12,Q822)))</xm:f>
            <xm:f>$Q$12</xm:f>
            <x14:dxf>
              <fill>
                <patternFill>
                  <bgColor theme="9" tint="0.79998168889431442"/>
                </patternFill>
              </fill>
            </x14:dxf>
          </x14:cfRule>
          <x14:cfRule type="containsText" priority="1973" operator="containsText" id="{153251CA-BCF5-47AF-9BEB-1FEB8B23B7A5}">
            <xm:f>NOT(ISERROR(SEARCH($Q$12,Q822)))</xm:f>
            <xm:f>$Q$12</xm:f>
            <x14:dxf>
              <fill>
                <patternFill>
                  <bgColor theme="9" tint="0.39994506668294322"/>
                </patternFill>
              </fill>
            </x14:dxf>
          </x14:cfRule>
          <x14:cfRule type="containsText" priority="1974" operator="containsText" id="{66E5C1DB-9C90-4F98-9BC7-48BB6608EED7}">
            <xm:f>NOT(ISERROR(SEARCH($Q$12,Q822)))</xm:f>
            <xm:f>$Q$12</xm:f>
            <x14:dxf>
              <fill>
                <patternFill>
                  <bgColor rgb="FF00B050"/>
                </patternFill>
              </fill>
            </x14:dxf>
          </x14:cfRule>
          <x14:cfRule type="containsText" priority="1980" operator="containsText" id="{600081C9-AF21-43D8-A10B-FE95BF102E1C}">
            <xm:f>NOT(ISERROR(SEARCH($Q$12,Q822)))</xm:f>
            <xm:f>$Q$12</xm:f>
            <x14:dxf>
              <fill>
                <patternFill>
                  <bgColor theme="9"/>
                </patternFill>
              </fill>
            </x14:dxf>
          </x14:cfRule>
          <xm:sqref>Q822</xm:sqref>
        </x14:conditionalFormatting>
        <x14:conditionalFormatting xmlns:xm="http://schemas.microsoft.com/office/excel/2006/main">
          <x14:cfRule type="containsText" priority="1933" operator="containsText" id="{CB97CE3F-6C7C-4BF3-BA87-1948664ED182}">
            <xm:f>NOT(ISERROR(SEARCH($Q$12,Q832)))</xm:f>
            <xm:f>$Q$12</xm:f>
            <x14:dxf>
              <fill>
                <patternFill>
                  <bgColor rgb="FFFFFF00"/>
                </patternFill>
              </fill>
            </x14:dxf>
          </x14:cfRule>
          <x14:cfRule type="containsText" priority="1934" operator="containsText" id="{0340F017-AC55-474A-BEC5-D98E2FA942C6}">
            <xm:f>NOT(ISERROR(SEARCH($Q$12,Q832)))</xm:f>
            <xm:f>$Q$12</xm:f>
            <x14:dxf>
              <fill>
                <patternFill>
                  <bgColor rgb="FFFFC000"/>
                </patternFill>
              </fill>
            </x14:dxf>
          </x14:cfRule>
          <x14:cfRule type="containsText" priority="1935" operator="containsText" id="{4C4849C5-18AC-4A8A-A567-8F43CCF0578A}">
            <xm:f>NOT(ISERROR(SEARCH($Q$12,Q832)))</xm:f>
            <xm:f>$Q$12</xm:f>
            <x14:dxf>
              <fill>
                <patternFill>
                  <bgColor rgb="FFFF0000"/>
                </patternFill>
              </fill>
            </x14:dxf>
          </x14:cfRule>
          <x14:cfRule type="containsText" priority="1932" operator="containsText" id="{C372B2D0-60A8-434F-BCAB-BBA481DBE867}">
            <xm:f>NOT(ISERROR(SEARCH($Q$12,Q832)))</xm:f>
            <xm:f>$Q$12</xm:f>
            <x14:dxf>
              <fill>
                <patternFill>
                  <bgColor theme="9"/>
                </patternFill>
              </fill>
            </x14:dxf>
          </x14:cfRule>
          <x14:cfRule type="containsText" priority="1931" operator="containsText" id="{B22ADB96-A985-452A-8565-65F8655CDB8C}">
            <xm:f>NOT(ISERROR(SEARCH($Q$12,Q832)))</xm:f>
            <xm:f>$Q$12</xm:f>
            <x14:dxf>
              <fill>
                <patternFill>
                  <bgColor theme="9" tint="0.59996337778862885"/>
                </patternFill>
              </fill>
            </x14:dxf>
          </x14:cfRule>
          <x14:cfRule type="containsText" priority="1930" operator="containsText" id="{91BC4E7A-07FF-47CB-B528-07CD68584451}">
            <xm:f>NOT(ISERROR(SEARCH($Q$12,Q832)))</xm:f>
            <xm:f>$Q$12</xm:f>
            <x14:dxf>
              <fill>
                <patternFill>
                  <bgColor rgb="FFFF0000"/>
                </patternFill>
              </fill>
            </x14:dxf>
          </x14:cfRule>
          <x14:cfRule type="containsText" priority="1929" operator="containsText" id="{FF6D96BD-22FD-478D-AE3A-24D12C98CDDF}">
            <xm:f>NOT(ISERROR(SEARCH($Q$12,Q832)))</xm:f>
            <xm:f>$Q$12</xm:f>
            <x14:dxf>
              <fill>
                <patternFill>
                  <bgColor rgb="FFFFC000"/>
                </patternFill>
              </fill>
            </x14:dxf>
          </x14:cfRule>
          <x14:cfRule type="containsText" priority="1928" operator="containsText" id="{85E502E8-D745-4F6E-93E8-70524A6FC4A3}">
            <xm:f>NOT(ISERROR(SEARCH($Q$12,Q832)))</xm:f>
            <xm:f>$Q$12</xm:f>
            <x14:dxf>
              <fill>
                <patternFill>
                  <bgColor rgb="FFFFFF00"/>
                </patternFill>
              </fill>
            </x14:dxf>
          </x14:cfRule>
          <x14:cfRule type="containsText" priority="1927" operator="containsText" id="{08CCFF7A-AEAD-4B58-80DF-93B815170CCA}">
            <xm:f>NOT(ISERROR(SEARCH($Q$12,Q832)))</xm:f>
            <xm:f>$Q$12</xm:f>
            <x14:dxf/>
          </x14:cfRule>
          <x14:cfRule type="containsText" priority="1926" operator="containsText" id="{0A219BA5-3BED-4588-93B1-42F4CDAC2F4F}">
            <xm:f>NOT(ISERROR(SEARCH($Q$12,Q832)))</xm:f>
            <xm:f>$Q$12</xm:f>
            <x14:dxf>
              <fill>
                <patternFill>
                  <bgColor rgb="FF00B050"/>
                </patternFill>
              </fill>
            </x14:dxf>
          </x14:cfRule>
          <x14:cfRule type="containsText" priority="1924" operator="containsText" id="{EED74FDD-1747-4C28-BFAE-712776165070}">
            <xm:f>NOT(ISERROR(SEARCH($Q$12,Q832)))</xm:f>
            <xm:f>$Q$12</xm:f>
            <x14:dxf>
              <fill>
                <patternFill>
                  <bgColor theme="9" tint="0.79998168889431442"/>
                </patternFill>
              </fill>
            </x14:dxf>
          </x14:cfRule>
          <x14:cfRule type="containsText" priority="1923" operator="containsText" id="{7E767496-CB11-441E-937E-22DCD147ED64}">
            <xm:f>NOT(ISERROR(SEARCH($Q$12,Q832)))</xm:f>
            <xm:f>$Q$12</xm:f>
            <x14:dxf>
              <fill>
                <patternFill>
                  <bgColor rgb="FFFFFF00"/>
                </patternFill>
              </fill>
            </x14:dxf>
          </x14:cfRule>
          <x14:cfRule type="containsText" priority="1925" operator="containsText" id="{9A333EB2-A75D-413B-8310-0ABDFEEAE78A}">
            <xm:f>NOT(ISERROR(SEARCH($Q$12,Q832)))</xm:f>
            <xm:f>$Q$12</xm:f>
            <x14:dxf>
              <fill>
                <patternFill>
                  <bgColor theme="9" tint="0.39994506668294322"/>
                </patternFill>
              </fill>
            </x14:dxf>
          </x14:cfRule>
          <xm:sqref>Q832</xm:sqref>
        </x14:conditionalFormatting>
        <x14:conditionalFormatting xmlns:xm="http://schemas.microsoft.com/office/excel/2006/main">
          <x14:cfRule type="containsText" priority="1881" operator="containsText" id="{2ADD6B38-2213-49D2-A048-76F44993D4CF}">
            <xm:f>NOT(ISERROR(SEARCH($Q$12,Q842)))</xm:f>
            <xm:f>$Q$12</xm:f>
            <x14:dxf>
              <fill>
                <patternFill>
                  <bgColor rgb="FFFFC000"/>
                </patternFill>
              </fill>
            </x14:dxf>
          </x14:cfRule>
          <x14:cfRule type="containsText" priority="1882" operator="containsText" id="{5EE2784E-CE78-4C29-AC49-B2057FC0C1FF}">
            <xm:f>NOT(ISERROR(SEARCH($Q$12,Q842)))</xm:f>
            <xm:f>$Q$12</xm:f>
            <x14:dxf>
              <fill>
                <patternFill>
                  <bgColor rgb="FFFF0000"/>
                </patternFill>
              </fill>
            </x14:dxf>
          </x14:cfRule>
          <x14:cfRule type="containsText" priority="1883" operator="containsText" id="{652E9C1A-B1C9-4EE7-B343-83D37626D6BF}">
            <xm:f>NOT(ISERROR(SEARCH($Q$12,Q842)))</xm:f>
            <xm:f>$Q$12</xm:f>
            <x14:dxf>
              <fill>
                <patternFill>
                  <bgColor theme="9" tint="0.59996337778862885"/>
                </patternFill>
              </fill>
            </x14:dxf>
          </x14:cfRule>
          <x14:cfRule type="containsText" priority="1885" operator="containsText" id="{0C638FB8-C38A-4A01-90BB-914AA03115C1}">
            <xm:f>NOT(ISERROR(SEARCH($Q$12,Q842)))</xm:f>
            <xm:f>$Q$12</xm:f>
            <x14:dxf>
              <fill>
                <patternFill>
                  <bgColor rgb="FFFFFF00"/>
                </patternFill>
              </fill>
            </x14:dxf>
          </x14:cfRule>
          <x14:cfRule type="containsText" priority="1886" operator="containsText" id="{840BA5F2-11BB-46E8-9DBE-221DE8B50580}">
            <xm:f>NOT(ISERROR(SEARCH($Q$12,Q842)))</xm:f>
            <xm:f>$Q$12</xm:f>
            <x14:dxf>
              <fill>
                <patternFill>
                  <bgColor rgb="FFFFC000"/>
                </patternFill>
              </fill>
            </x14:dxf>
          </x14:cfRule>
          <x14:cfRule type="containsText" priority="1887" operator="containsText" id="{FEC5FFAA-E306-40C2-A121-3E826356825F}">
            <xm:f>NOT(ISERROR(SEARCH($Q$12,Q842)))</xm:f>
            <xm:f>$Q$12</xm:f>
            <x14:dxf>
              <fill>
                <patternFill>
                  <bgColor rgb="FFFF0000"/>
                </patternFill>
              </fill>
            </x14:dxf>
          </x14:cfRule>
          <x14:cfRule type="containsText" priority="1880" operator="containsText" id="{1B08B857-E9D6-4374-8853-8407C16D571C}">
            <xm:f>NOT(ISERROR(SEARCH($Q$12,Q842)))</xm:f>
            <xm:f>$Q$12</xm:f>
            <x14:dxf>
              <fill>
                <patternFill>
                  <bgColor rgb="FFFFFF00"/>
                </patternFill>
              </fill>
            </x14:dxf>
          </x14:cfRule>
          <x14:cfRule type="containsText" priority="1879" operator="containsText" id="{E2A3FFFD-1992-407B-BA3E-30022113B922}">
            <xm:f>NOT(ISERROR(SEARCH($Q$12,Q842)))</xm:f>
            <xm:f>$Q$12</xm:f>
            <x14:dxf/>
          </x14:cfRule>
          <x14:cfRule type="containsText" priority="1884" operator="containsText" id="{42EB1BFC-AEDF-41CC-882D-20E45B962767}">
            <xm:f>NOT(ISERROR(SEARCH($Q$12,Q842)))</xm:f>
            <xm:f>$Q$12</xm:f>
            <x14:dxf>
              <fill>
                <patternFill>
                  <bgColor theme="9"/>
                </patternFill>
              </fill>
            </x14:dxf>
          </x14:cfRule>
          <x14:cfRule type="containsText" priority="1878" operator="containsText" id="{5044D664-2FAF-4E61-A796-26D6E10B2328}">
            <xm:f>NOT(ISERROR(SEARCH($Q$12,Q842)))</xm:f>
            <xm:f>$Q$12</xm:f>
            <x14:dxf>
              <fill>
                <patternFill>
                  <bgColor rgb="FF00B050"/>
                </patternFill>
              </fill>
            </x14:dxf>
          </x14:cfRule>
          <x14:cfRule type="containsText" priority="1877" operator="containsText" id="{AC4369A3-BC83-4C27-941A-5F264C4AFF78}">
            <xm:f>NOT(ISERROR(SEARCH($Q$12,Q842)))</xm:f>
            <xm:f>$Q$12</xm:f>
            <x14:dxf>
              <fill>
                <patternFill>
                  <bgColor theme="9" tint="0.39994506668294322"/>
                </patternFill>
              </fill>
            </x14:dxf>
          </x14:cfRule>
          <x14:cfRule type="containsText" priority="1876" operator="containsText" id="{B7CB35B0-9E65-436B-A67E-D57F3DBAE02F}">
            <xm:f>NOT(ISERROR(SEARCH($Q$12,Q842)))</xm:f>
            <xm:f>$Q$12</xm:f>
            <x14:dxf>
              <fill>
                <patternFill>
                  <bgColor theme="9" tint="0.79998168889431442"/>
                </patternFill>
              </fill>
            </x14:dxf>
          </x14:cfRule>
          <x14:cfRule type="containsText" priority="1875" operator="containsText" id="{0079ABC4-22A4-4384-8386-39BF8A330CAB}">
            <xm:f>NOT(ISERROR(SEARCH($Q$12,Q842)))</xm:f>
            <xm:f>$Q$12</xm:f>
            <x14:dxf>
              <fill>
                <patternFill>
                  <bgColor rgb="FFFFFF00"/>
                </patternFill>
              </fill>
            </x14:dxf>
          </x14:cfRule>
          <xm:sqref>Q842</xm:sqref>
        </x14:conditionalFormatting>
        <x14:conditionalFormatting xmlns:xm="http://schemas.microsoft.com/office/excel/2006/main">
          <x14:cfRule type="containsText" priority="1828" operator="containsText" id="{ED8EE6C0-5102-48CC-B6D4-0B9B17846575}">
            <xm:f>NOT(ISERROR(SEARCH($Q$12,Q852)))</xm:f>
            <xm:f>$Q$12</xm:f>
            <x14:dxf>
              <fill>
                <patternFill>
                  <bgColor theme="9" tint="0.79998168889431442"/>
                </patternFill>
              </fill>
            </x14:dxf>
          </x14:cfRule>
          <x14:cfRule type="containsText" priority="1829" operator="containsText" id="{DB495670-5516-4A57-A1B4-719A37C783D9}">
            <xm:f>NOT(ISERROR(SEARCH($Q$12,Q852)))</xm:f>
            <xm:f>$Q$12</xm:f>
            <x14:dxf>
              <fill>
                <patternFill>
                  <bgColor theme="9" tint="0.39994506668294322"/>
                </patternFill>
              </fill>
            </x14:dxf>
          </x14:cfRule>
          <x14:cfRule type="containsText" priority="1831" operator="containsText" id="{8F898FB4-5D55-45EB-B250-9F66F10DA18F}">
            <xm:f>NOT(ISERROR(SEARCH($Q$12,Q852)))</xm:f>
            <xm:f>$Q$12</xm:f>
            <x14:dxf/>
          </x14:cfRule>
          <x14:cfRule type="containsText" priority="1832" operator="containsText" id="{669D39B6-694B-4C29-9AC0-291126F30949}">
            <xm:f>NOT(ISERROR(SEARCH($Q$12,Q852)))</xm:f>
            <xm:f>$Q$12</xm:f>
            <x14:dxf>
              <fill>
                <patternFill>
                  <bgColor rgb="FFFFFF00"/>
                </patternFill>
              </fill>
            </x14:dxf>
          </x14:cfRule>
          <x14:cfRule type="containsText" priority="1833" operator="containsText" id="{4EA0E457-67C3-4F16-840E-A865F57162A7}">
            <xm:f>NOT(ISERROR(SEARCH($Q$12,Q852)))</xm:f>
            <xm:f>$Q$12</xm:f>
            <x14:dxf>
              <fill>
                <patternFill>
                  <bgColor rgb="FFFFC000"/>
                </patternFill>
              </fill>
            </x14:dxf>
          </x14:cfRule>
          <x14:cfRule type="containsText" priority="1834" operator="containsText" id="{75FBF82F-FBD9-412E-8E96-A3531B877CC5}">
            <xm:f>NOT(ISERROR(SEARCH($Q$12,Q852)))</xm:f>
            <xm:f>$Q$12</xm:f>
            <x14:dxf>
              <fill>
                <patternFill>
                  <bgColor rgb="FFFF0000"/>
                </patternFill>
              </fill>
            </x14:dxf>
          </x14:cfRule>
          <x14:cfRule type="containsText" priority="1835" operator="containsText" id="{8EB6758F-6EED-4F83-9CB4-EE95F151F3C4}">
            <xm:f>NOT(ISERROR(SEARCH($Q$12,Q852)))</xm:f>
            <xm:f>$Q$12</xm:f>
            <x14:dxf>
              <fill>
                <patternFill>
                  <bgColor theme="9" tint="0.59996337778862885"/>
                </patternFill>
              </fill>
            </x14:dxf>
          </x14:cfRule>
          <x14:cfRule type="containsText" priority="1836" operator="containsText" id="{EDCA197D-D59C-4BC5-9C53-FD8F02311BCD}">
            <xm:f>NOT(ISERROR(SEARCH($Q$12,Q852)))</xm:f>
            <xm:f>$Q$12</xm:f>
            <x14:dxf>
              <fill>
                <patternFill>
                  <bgColor theme="9"/>
                </patternFill>
              </fill>
            </x14:dxf>
          </x14:cfRule>
          <x14:cfRule type="containsText" priority="1837" operator="containsText" id="{9C1C776F-243F-4490-9047-D5812F9156A8}">
            <xm:f>NOT(ISERROR(SEARCH($Q$12,Q852)))</xm:f>
            <xm:f>$Q$12</xm:f>
            <x14:dxf>
              <fill>
                <patternFill>
                  <bgColor rgb="FFFFFF00"/>
                </patternFill>
              </fill>
            </x14:dxf>
          </x14:cfRule>
          <x14:cfRule type="containsText" priority="1838" operator="containsText" id="{7E664B78-0806-4EF8-B084-3AB9C60AA3D8}">
            <xm:f>NOT(ISERROR(SEARCH($Q$12,Q852)))</xm:f>
            <xm:f>$Q$12</xm:f>
            <x14:dxf>
              <fill>
                <patternFill>
                  <bgColor rgb="FFFFC000"/>
                </patternFill>
              </fill>
            </x14:dxf>
          </x14:cfRule>
          <x14:cfRule type="containsText" priority="1839" operator="containsText" id="{88C56EB6-0E32-4EBE-8CA6-9CCD2DEA5724}">
            <xm:f>NOT(ISERROR(SEARCH($Q$12,Q852)))</xm:f>
            <xm:f>$Q$12</xm:f>
            <x14:dxf>
              <fill>
                <patternFill>
                  <bgColor rgb="FFFF0000"/>
                </patternFill>
              </fill>
            </x14:dxf>
          </x14:cfRule>
          <x14:cfRule type="containsText" priority="1827" operator="containsText" id="{720D4BDE-1642-4CDA-81C5-7929483F140B}">
            <xm:f>NOT(ISERROR(SEARCH($Q$12,Q852)))</xm:f>
            <xm:f>$Q$12</xm:f>
            <x14:dxf>
              <fill>
                <patternFill>
                  <bgColor rgb="FFFFFF00"/>
                </patternFill>
              </fill>
            </x14:dxf>
          </x14:cfRule>
          <x14:cfRule type="containsText" priority="1830" operator="containsText" id="{944B17A5-C042-4076-9319-F27ECA636064}">
            <xm:f>NOT(ISERROR(SEARCH($Q$12,Q852)))</xm:f>
            <xm:f>$Q$12</xm:f>
            <x14:dxf>
              <fill>
                <patternFill>
                  <bgColor rgb="FF00B050"/>
                </patternFill>
              </fill>
            </x14:dxf>
          </x14:cfRule>
          <xm:sqref>Q852</xm:sqref>
        </x14:conditionalFormatting>
        <x14:conditionalFormatting xmlns:xm="http://schemas.microsoft.com/office/excel/2006/main">
          <x14:cfRule type="containsText" priority="1779" operator="containsText" id="{5FC7B85B-1E17-479B-95D4-E6A632A29434}">
            <xm:f>NOT(ISERROR(SEARCH($Q$12,Q862)))</xm:f>
            <xm:f>$Q$12</xm:f>
            <x14:dxf>
              <fill>
                <patternFill>
                  <bgColor rgb="FFFFFF00"/>
                </patternFill>
              </fill>
            </x14:dxf>
          </x14:cfRule>
          <x14:cfRule type="containsText" priority="1784" operator="containsText" id="{E15140F9-7F26-41DE-AEA3-A47FA7CCE051}">
            <xm:f>NOT(ISERROR(SEARCH($Q$12,Q862)))</xm:f>
            <xm:f>$Q$12</xm:f>
            <x14:dxf>
              <fill>
                <patternFill>
                  <bgColor rgb="FFFFFF00"/>
                </patternFill>
              </fill>
            </x14:dxf>
          </x14:cfRule>
          <x14:cfRule type="containsText" priority="1780" operator="containsText" id="{366954B9-54BC-4BEA-A764-70605F0E4B0A}">
            <xm:f>NOT(ISERROR(SEARCH($Q$12,Q862)))</xm:f>
            <xm:f>$Q$12</xm:f>
            <x14:dxf>
              <fill>
                <patternFill>
                  <bgColor theme="9" tint="0.79998168889431442"/>
                </patternFill>
              </fill>
            </x14:dxf>
          </x14:cfRule>
          <x14:cfRule type="containsText" priority="1781" operator="containsText" id="{D76C87D1-1A16-4DAC-97A7-8875F1F66385}">
            <xm:f>NOT(ISERROR(SEARCH($Q$12,Q862)))</xm:f>
            <xm:f>$Q$12</xm:f>
            <x14:dxf>
              <fill>
                <patternFill>
                  <bgColor theme="9" tint="0.39994506668294322"/>
                </patternFill>
              </fill>
            </x14:dxf>
          </x14:cfRule>
          <x14:cfRule type="containsText" priority="1782" operator="containsText" id="{D7CD57F7-65D9-42B6-8E78-BDAFFD4D09A6}">
            <xm:f>NOT(ISERROR(SEARCH($Q$12,Q862)))</xm:f>
            <xm:f>$Q$12</xm:f>
            <x14:dxf>
              <fill>
                <patternFill>
                  <bgColor rgb="FF00B050"/>
                </patternFill>
              </fill>
            </x14:dxf>
          </x14:cfRule>
          <x14:cfRule type="containsText" priority="1783" operator="containsText" id="{EF22FDF8-6A4A-4257-A2F8-CE0A46BB720B}">
            <xm:f>NOT(ISERROR(SEARCH($Q$12,Q862)))</xm:f>
            <xm:f>$Q$12</xm:f>
            <x14:dxf/>
          </x14:cfRule>
          <x14:cfRule type="containsText" priority="1791" operator="containsText" id="{11BBD176-79DA-4FB8-810E-240486AD16B3}">
            <xm:f>NOT(ISERROR(SEARCH($Q$12,Q862)))</xm:f>
            <xm:f>$Q$12</xm:f>
            <x14:dxf>
              <fill>
                <patternFill>
                  <bgColor rgb="FFFF0000"/>
                </patternFill>
              </fill>
            </x14:dxf>
          </x14:cfRule>
          <x14:cfRule type="containsText" priority="1790" operator="containsText" id="{F4B4E3F7-1F50-4227-A48D-0874818EB2FB}">
            <xm:f>NOT(ISERROR(SEARCH($Q$12,Q862)))</xm:f>
            <xm:f>$Q$12</xm:f>
            <x14:dxf>
              <fill>
                <patternFill>
                  <bgColor rgb="FFFFC000"/>
                </patternFill>
              </fill>
            </x14:dxf>
          </x14:cfRule>
          <x14:cfRule type="containsText" priority="1785" operator="containsText" id="{DBDE120D-647D-4B4B-BF67-98001596A215}">
            <xm:f>NOT(ISERROR(SEARCH($Q$12,Q862)))</xm:f>
            <xm:f>$Q$12</xm:f>
            <x14:dxf>
              <fill>
                <patternFill>
                  <bgColor rgb="FFFFC000"/>
                </patternFill>
              </fill>
            </x14:dxf>
          </x14:cfRule>
          <x14:cfRule type="containsText" priority="1786" operator="containsText" id="{F99196B5-699B-408D-B3AB-A1EE08C5D0C9}">
            <xm:f>NOT(ISERROR(SEARCH($Q$12,Q862)))</xm:f>
            <xm:f>$Q$12</xm:f>
            <x14:dxf>
              <fill>
                <patternFill>
                  <bgColor rgb="FFFF0000"/>
                </patternFill>
              </fill>
            </x14:dxf>
          </x14:cfRule>
          <x14:cfRule type="containsText" priority="1787" operator="containsText" id="{9ECAF764-F3B6-4C3A-850A-3D9136BAFA53}">
            <xm:f>NOT(ISERROR(SEARCH($Q$12,Q862)))</xm:f>
            <xm:f>$Q$12</xm:f>
            <x14:dxf>
              <fill>
                <patternFill>
                  <bgColor theme="9" tint="0.59996337778862885"/>
                </patternFill>
              </fill>
            </x14:dxf>
          </x14:cfRule>
          <x14:cfRule type="containsText" priority="1789" operator="containsText" id="{597A8726-4D60-4DFB-91D6-B86FE37C857B}">
            <xm:f>NOT(ISERROR(SEARCH($Q$12,Q862)))</xm:f>
            <xm:f>$Q$12</xm:f>
            <x14:dxf>
              <fill>
                <patternFill>
                  <bgColor rgb="FFFFFF00"/>
                </patternFill>
              </fill>
            </x14:dxf>
          </x14:cfRule>
          <x14:cfRule type="containsText" priority="1788" operator="containsText" id="{18A50EA1-956E-4F64-8BBD-0DC2EA652E2D}">
            <xm:f>NOT(ISERROR(SEARCH($Q$12,Q862)))</xm:f>
            <xm:f>$Q$12</xm:f>
            <x14:dxf>
              <fill>
                <patternFill>
                  <bgColor theme="9"/>
                </patternFill>
              </fill>
            </x14:dxf>
          </x14:cfRule>
          <xm:sqref>Q862</xm:sqref>
        </x14:conditionalFormatting>
        <x14:conditionalFormatting xmlns:xm="http://schemas.microsoft.com/office/excel/2006/main">
          <x14:cfRule type="containsText" priority="1733" operator="containsText" id="{2AF1A2E8-FBBF-441A-8D19-FB82AFB697EB}">
            <xm:f>NOT(ISERROR(SEARCH($Q$12,Q872)))</xm:f>
            <xm:f>$Q$12</xm:f>
            <x14:dxf>
              <fill>
                <patternFill>
                  <bgColor theme="9" tint="0.39994506668294322"/>
                </patternFill>
              </fill>
            </x14:dxf>
          </x14:cfRule>
          <x14:cfRule type="containsText" priority="1732" operator="containsText" id="{D7F8C536-7FDB-4C5C-AA3A-CF6F2B9EC70B}">
            <xm:f>NOT(ISERROR(SEARCH($Q$12,Q872)))</xm:f>
            <xm:f>$Q$12</xm:f>
            <x14:dxf>
              <fill>
                <patternFill>
                  <bgColor theme="9" tint="0.79998168889431442"/>
                </patternFill>
              </fill>
            </x14:dxf>
          </x14:cfRule>
          <x14:cfRule type="containsText" priority="1731" operator="containsText" id="{FD62D2A8-ED2C-41BB-A20D-1F61B5B24AC6}">
            <xm:f>NOT(ISERROR(SEARCH($Q$12,Q872)))</xm:f>
            <xm:f>$Q$12</xm:f>
            <x14:dxf>
              <fill>
                <patternFill>
                  <bgColor rgb="FFFFFF00"/>
                </patternFill>
              </fill>
            </x14:dxf>
          </x14:cfRule>
          <x14:cfRule type="containsText" priority="1735" operator="containsText" id="{D39D0590-F6EB-4673-B0F1-7FB70868A005}">
            <xm:f>NOT(ISERROR(SEARCH($Q$12,Q872)))</xm:f>
            <xm:f>$Q$12</xm:f>
            <x14:dxf/>
          </x14:cfRule>
          <x14:cfRule type="containsText" priority="1737" operator="containsText" id="{7A929F86-6A1E-4BC7-AAF5-05EEDCEA15F5}">
            <xm:f>NOT(ISERROR(SEARCH($Q$12,Q872)))</xm:f>
            <xm:f>$Q$12</xm:f>
            <x14:dxf>
              <fill>
                <patternFill>
                  <bgColor rgb="FFFFC000"/>
                </patternFill>
              </fill>
            </x14:dxf>
          </x14:cfRule>
          <x14:cfRule type="containsText" priority="1738" operator="containsText" id="{0DB4BB8E-31F6-4A32-A09F-1151EBA1DE43}">
            <xm:f>NOT(ISERROR(SEARCH($Q$12,Q872)))</xm:f>
            <xm:f>$Q$12</xm:f>
            <x14:dxf>
              <fill>
                <patternFill>
                  <bgColor rgb="FFFF0000"/>
                </patternFill>
              </fill>
            </x14:dxf>
          </x14:cfRule>
          <x14:cfRule type="containsText" priority="1739" operator="containsText" id="{011BE0DF-CD5F-4DF0-BD5A-3B53BAC55CF4}">
            <xm:f>NOT(ISERROR(SEARCH($Q$12,Q872)))</xm:f>
            <xm:f>$Q$12</xm:f>
            <x14:dxf>
              <fill>
                <patternFill>
                  <bgColor theme="9" tint="0.59996337778862885"/>
                </patternFill>
              </fill>
            </x14:dxf>
          </x14:cfRule>
          <x14:cfRule type="containsText" priority="1740" operator="containsText" id="{7823ED43-81A1-447E-B5EE-C88E686F444A}">
            <xm:f>NOT(ISERROR(SEARCH($Q$12,Q872)))</xm:f>
            <xm:f>$Q$12</xm:f>
            <x14:dxf>
              <fill>
                <patternFill>
                  <bgColor theme="9"/>
                </patternFill>
              </fill>
            </x14:dxf>
          </x14:cfRule>
          <x14:cfRule type="containsText" priority="1741" operator="containsText" id="{1135BC2E-3BF1-44AB-A979-88E94E3F4977}">
            <xm:f>NOT(ISERROR(SEARCH($Q$12,Q872)))</xm:f>
            <xm:f>$Q$12</xm:f>
            <x14:dxf>
              <fill>
                <patternFill>
                  <bgColor rgb="FFFFFF00"/>
                </patternFill>
              </fill>
            </x14:dxf>
          </x14:cfRule>
          <x14:cfRule type="containsText" priority="1742" operator="containsText" id="{13351205-F516-4BED-8F53-A89A0CAE5585}">
            <xm:f>NOT(ISERROR(SEARCH($Q$12,Q872)))</xm:f>
            <xm:f>$Q$12</xm:f>
            <x14:dxf>
              <fill>
                <patternFill>
                  <bgColor rgb="FFFFC000"/>
                </patternFill>
              </fill>
            </x14:dxf>
          </x14:cfRule>
          <x14:cfRule type="containsText" priority="1743" operator="containsText" id="{E205012A-3CEF-4A7C-8526-B5FF1DC66E21}">
            <xm:f>NOT(ISERROR(SEARCH($Q$12,Q872)))</xm:f>
            <xm:f>$Q$12</xm:f>
            <x14:dxf>
              <fill>
                <patternFill>
                  <bgColor rgb="FFFF0000"/>
                </patternFill>
              </fill>
            </x14:dxf>
          </x14:cfRule>
          <x14:cfRule type="containsText" priority="1736" operator="containsText" id="{66058CEF-6A65-49ED-939B-B92ACEBDDABE}">
            <xm:f>NOT(ISERROR(SEARCH($Q$12,Q872)))</xm:f>
            <xm:f>$Q$12</xm:f>
            <x14:dxf>
              <fill>
                <patternFill>
                  <bgColor rgb="FFFFFF00"/>
                </patternFill>
              </fill>
            </x14:dxf>
          </x14:cfRule>
          <x14:cfRule type="containsText" priority="1734" operator="containsText" id="{22139037-7E14-4077-B410-D1832254DE42}">
            <xm:f>NOT(ISERROR(SEARCH($Q$12,Q872)))</xm:f>
            <xm:f>$Q$12</xm:f>
            <x14:dxf>
              <fill>
                <patternFill>
                  <bgColor rgb="FF00B050"/>
                </patternFill>
              </fill>
            </x14:dxf>
          </x14:cfRule>
          <xm:sqref>Q872</xm:sqref>
        </x14:conditionalFormatting>
        <x14:conditionalFormatting xmlns:xm="http://schemas.microsoft.com/office/excel/2006/main">
          <x14:cfRule type="containsText" priority="1359" operator="containsText" id="{7CF14517-F2EE-41DD-9CC9-A28B7750D9CB}">
            <xm:f>NOT(ISERROR(SEARCH($Q$12,Q882)))</xm:f>
            <xm:f>$Q$12</xm:f>
            <x14:dxf>
              <fill>
                <patternFill>
                  <bgColor rgb="FFFFFF00"/>
                </patternFill>
              </fill>
            </x14:dxf>
          </x14:cfRule>
          <x14:cfRule type="containsText" priority="1371" operator="containsText" id="{FEF5F347-322A-431F-97C3-C14C732AE2C5}">
            <xm:f>NOT(ISERROR(SEARCH($Q$12,Q882)))</xm:f>
            <xm:f>$Q$12</xm:f>
            <x14:dxf>
              <fill>
                <patternFill>
                  <bgColor rgb="FFFF0000"/>
                </patternFill>
              </fill>
            </x14:dxf>
          </x14:cfRule>
          <x14:cfRule type="containsText" priority="1369" operator="containsText" id="{86115B7F-06B5-4742-8619-4AFF434C9093}">
            <xm:f>NOT(ISERROR(SEARCH($Q$12,Q882)))</xm:f>
            <xm:f>$Q$12</xm:f>
            <x14:dxf>
              <fill>
                <patternFill>
                  <bgColor rgb="FFFFFF00"/>
                </patternFill>
              </fill>
            </x14:dxf>
          </x14:cfRule>
          <x14:cfRule type="containsText" priority="1360" operator="containsText" id="{CE518C6D-EACB-430C-A463-736719CCFAC8}">
            <xm:f>NOT(ISERROR(SEARCH($Q$12,Q882)))</xm:f>
            <xm:f>$Q$12</xm:f>
            <x14:dxf>
              <fill>
                <patternFill>
                  <bgColor theme="9" tint="0.79998168889431442"/>
                </patternFill>
              </fill>
            </x14:dxf>
          </x14:cfRule>
          <x14:cfRule type="containsText" priority="1362" operator="containsText" id="{D4AD07EF-23AD-48D4-BAC3-E7DDD9DB46BA}">
            <xm:f>NOT(ISERROR(SEARCH($Q$12,Q882)))</xm:f>
            <xm:f>$Q$12</xm:f>
            <x14:dxf>
              <fill>
                <patternFill>
                  <bgColor rgb="FF00B050"/>
                </patternFill>
              </fill>
            </x14:dxf>
          </x14:cfRule>
          <x14:cfRule type="containsText" priority="1370" operator="containsText" id="{DBA665DF-C715-49CD-A9E5-88DE18ABF7F2}">
            <xm:f>NOT(ISERROR(SEARCH($Q$12,Q882)))</xm:f>
            <xm:f>$Q$12</xm:f>
            <x14:dxf>
              <fill>
                <patternFill>
                  <bgColor rgb="FFFFC000"/>
                </patternFill>
              </fill>
            </x14:dxf>
          </x14:cfRule>
          <x14:cfRule type="containsText" priority="1363" operator="containsText" id="{84C3F1C9-EC4D-4E42-A2FF-E4BFA745EBA4}">
            <xm:f>NOT(ISERROR(SEARCH($Q$12,Q882)))</xm:f>
            <xm:f>$Q$12</xm:f>
            <x14:dxf/>
          </x14:cfRule>
          <x14:cfRule type="containsText" priority="1364" operator="containsText" id="{50B32772-E889-4778-B6E6-25979692C4B6}">
            <xm:f>NOT(ISERROR(SEARCH($Q$12,Q882)))</xm:f>
            <xm:f>$Q$12</xm:f>
            <x14:dxf>
              <fill>
                <patternFill>
                  <bgColor rgb="FFFFFF00"/>
                </patternFill>
              </fill>
            </x14:dxf>
          </x14:cfRule>
          <x14:cfRule type="containsText" priority="1361" operator="containsText" id="{DCE8931B-FFBB-4FA5-AE22-DC5F7236D8EA}">
            <xm:f>NOT(ISERROR(SEARCH($Q$12,Q882)))</xm:f>
            <xm:f>$Q$12</xm:f>
            <x14:dxf>
              <fill>
                <patternFill>
                  <bgColor theme="9" tint="0.39994506668294322"/>
                </patternFill>
              </fill>
            </x14:dxf>
          </x14:cfRule>
          <x14:cfRule type="containsText" priority="1365" operator="containsText" id="{75E6543D-C906-440C-B892-475804B9CEA7}">
            <xm:f>NOT(ISERROR(SEARCH($Q$12,Q882)))</xm:f>
            <xm:f>$Q$12</xm:f>
            <x14:dxf>
              <fill>
                <patternFill>
                  <bgColor rgb="FFFFC000"/>
                </patternFill>
              </fill>
            </x14:dxf>
          </x14:cfRule>
          <x14:cfRule type="containsText" priority="1366" operator="containsText" id="{1A6CF0FE-35EA-4847-A1B6-BB03C54B6198}">
            <xm:f>NOT(ISERROR(SEARCH($Q$12,Q882)))</xm:f>
            <xm:f>$Q$12</xm:f>
            <x14:dxf>
              <fill>
                <patternFill>
                  <bgColor rgb="FFFF0000"/>
                </patternFill>
              </fill>
            </x14:dxf>
          </x14:cfRule>
          <x14:cfRule type="containsText" priority="1367" operator="containsText" id="{E850869E-3412-4616-92EC-C6995997A4C4}">
            <xm:f>NOT(ISERROR(SEARCH($Q$12,Q882)))</xm:f>
            <xm:f>$Q$12</xm:f>
            <x14:dxf>
              <fill>
                <patternFill>
                  <bgColor theme="9" tint="0.59996337778862885"/>
                </patternFill>
              </fill>
            </x14:dxf>
          </x14:cfRule>
          <x14:cfRule type="containsText" priority="1368" operator="containsText" id="{C29EC45C-50E2-4DF4-8EF7-3F25D89764E6}">
            <xm:f>NOT(ISERROR(SEARCH($Q$12,Q882)))</xm:f>
            <xm:f>$Q$12</xm:f>
            <x14:dxf>
              <fill>
                <patternFill>
                  <bgColor theme="9"/>
                </patternFill>
              </fill>
            </x14:dxf>
          </x14:cfRule>
          <xm:sqref>Q882</xm:sqref>
        </x14:conditionalFormatting>
        <x14:conditionalFormatting xmlns:xm="http://schemas.microsoft.com/office/excel/2006/main">
          <x14:cfRule type="containsText" priority="1313" operator="containsText" id="{C61C9E93-4689-4F54-B321-A6BAE6AEEB7E}">
            <xm:f>NOT(ISERROR(SEARCH($Q$12,Q892)))</xm:f>
            <xm:f>$Q$12</xm:f>
            <x14:dxf>
              <fill>
                <patternFill>
                  <bgColor theme="9" tint="0.39994506668294322"/>
                </patternFill>
              </fill>
            </x14:dxf>
          </x14:cfRule>
          <x14:cfRule type="containsText" priority="1314" operator="containsText" id="{2E3F575F-52B1-44C9-9399-EB2B0710985A}">
            <xm:f>NOT(ISERROR(SEARCH($Q$12,Q892)))</xm:f>
            <xm:f>$Q$12</xm:f>
            <x14:dxf>
              <fill>
                <patternFill>
                  <bgColor rgb="FF00B050"/>
                </patternFill>
              </fill>
            </x14:dxf>
          </x14:cfRule>
          <x14:cfRule type="containsText" priority="1315" operator="containsText" id="{F98EB22B-CCBF-48BE-9A07-D79B80789801}">
            <xm:f>NOT(ISERROR(SEARCH($Q$12,Q892)))</xm:f>
            <xm:f>$Q$12</xm:f>
            <x14:dxf/>
          </x14:cfRule>
          <x14:cfRule type="containsText" priority="1316" operator="containsText" id="{5CD07E04-BDF2-4B8D-8080-DB6EC091CE6B}">
            <xm:f>NOT(ISERROR(SEARCH($Q$12,Q892)))</xm:f>
            <xm:f>$Q$12</xm:f>
            <x14:dxf>
              <fill>
                <patternFill>
                  <bgColor rgb="FFFFFF00"/>
                </patternFill>
              </fill>
            </x14:dxf>
          </x14:cfRule>
          <x14:cfRule type="containsText" priority="1317" operator="containsText" id="{CB263646-2B1C-4B97-8203-CAE0A79CCE42}">
            <xm:f>NOT(ISERROR(SEARCH($Q$12,Q892)))</xm:f>
            <xm:f>$Q$12</xm:f>
            <x14:dxf>
              <fill>
                <patternFill>
                  <bgColor rgb="FFFFC000"/>
                </patternFill>
              </fill>
            </x14:dxf>
          </x14:cfRule>
          <x14:cfRule type="containsText" priority="1318" operator="containsText" id="{6335AA4A-3467-4AF1-81CC-F0AA2A481433}">
            <xm:f>NOT(ISERROR(SEARCH($Q$12,Q892)))</xm:f>
            <xm:f>$Q$12</xm:f>
            <x14:dxf>
              <fill>
                <patternFill>
                  <bgColor rgb="FFFF0000"/>
                </patternFill>
              </fill>
            </x14:dxf>
          </x14:cfRule>
          <x14:cfRule type="containsText" priority="1319" operator="containsText" id="{870C95D7-14A0-484E-84A0-49C214D538F4}">
            <xm:f>NOT(ISERROR(SEARCH($Q$12,Q892)))</xm:f>
            <xm:f>$Q$12</xm:f>
            <x14:dxf>
              <fill>
                <patternFill>
                  <bgColor theme="9" tint="0.59996337778862885"/>
                </patternFill>
              </fill>
            </x14:dxf>
          </x14:cfRule>
          <x14:cfRule type="containsText" priority="1320" operator="containsText" id="{21B6255B-1E65-4842-9EB1-5B3CC864D657}">
            <xm:f>NOT(ISERROR(SEARCH($Q$12,Q892)))</xm:f>
            <xm:f>$Q$12</xm:f>
            <x14:dxf>
              <fill>
                <patternFill>
                  <bgColor theme="9"/>
                </patternFill>
              </fill>
            </x14:dxf>
          </x14:cfRule>
          <x14:cfRule type="containsText" priority="1321" operator="containsText" id="{B11CDBC4-5AAD-43B5-ACB1-79D529126642}">
            <xm:f>NOT(ISERROR(SEARCH($Q$12,Q892)))</xm:f>
            <xm:f>$Q$12</xm:f>
            <x14:dxf>
              <fill>
                <patternFill>
                  <bgColor rgb="FFFFFF00"/>
                </patternFill>
              </fill>
            </x14:dxf>
          </x14:cfRule>
          <x14:cfRule type="containsText" priority="1311" operator="containsText" id="{F717F5CA-5FC8-48C7-AD3B-AAD26BD1A6F9}">
            <xm:f>NOT(ISERROR(SEARCH($Q$12,Q892)))</xm:f>
            <xm:f>$Q$12</xm:f>
            <x14:dxf>
              <fill>
                <patternFill>
                  <bgColor rgb="FFFFFF00"/>
                </patternFill>
              </fill>
            </x14:dxf>
          </x14:cfRule>
          <x14:cfRule type="containsText" priority="1322" operator="containsText" id="{93CD0FF7-403E-4F23-83C0-E4E666CCCEB4}">
            <xm:f>NOT(ISERROR(SEARCH($Q$12,Q892)))</xm:f>
            <xm:f>$Q$12</xm:f>
            <x14:dxf>
              <fill>
                <patternFill>
                  <bgColor rgb="FFFFC000"/>
                </patternFill>
              </fill>
            </x14:dxf>
          </x14:cfRule>
          <x14:cfRule type="containsText" priority="1323" operator="containsText" id="{37BFC4C7-0FAD-4DA6-B1E4-09B584203DFB}">
            <xm:f>NOT(ISERROR(SEARCH($Q$12,Q892)))</xm:f>
            <xm:f>$Q$12</xm:f>
            <x14:dxf>
              <fill>
                <patternFill>
                  <bgColor rgb="FFFF0000"/>
                </patternFill>
              </fill>
            </x14:dxf>
          </x14:cfRule>
          <x14:cfRule type="containsText" priority="1312" operator="containsText" id="{FFE151DD-2FAD-4BDD-9DA2-621D7ABF63CD}">
            <xm:f>NOT(ISERROR(SEARCH($Q$12,Q892)))</xm:f>
            <xm:f>$Q$12</xm:f>
            <x14:dxf>
              <fill>
                <patternFill>
                  <bgColor theme="9" tint="0.79998168889431442"/>
                </patternFill>
              </fill>
            </x14:dxf>
          </x14:cfRule>
          <xm:sqref>Q892</xm:sqref>
        </x14:conditionalFormatting>
        <x14:conditionalFormatting xmlns:xm="http://schemas.microsoft.com/office/excel/2006/main">
          <x14:cfRule type="containsText" priority="1272" operator="containsText" id="{8EF2D80B-6311-4C8F-BEEF-C0206A341531}">
            <xm:f>NOT(ISERROR(SEARCH($Q$12,Q902)))</xm:f>
            <xm:f>$Q$12</xm:f>
            <x14:dxf>
              <fill>
                <patternFill>
                  <bgColor theme="9"/>
                </patternFill>
              </fill>
            </x14:dxf>
          </x14:cfRule>
          <x14:cfRule type="containsText" priority="1266" operator="containsText" id="{4C96164B-838F-49F5-AFBE-6A9D08C370B2}">
            <xm:f>NOT(ISERROR(SEARCH($Q$12,Q902)))</xm:f>
            <xm:f>$Q$12</xm:f>
            <x14:dxf>
              <fill>
                <patternFill>
                  <bgColor rgb="FF00B050"/>
                </patternFill>
              </fill>
            </x14:dxf>
          </x14:cfRule>
          <x14:cfRule type="containsText" priority="1263" operator="containsText" id="{7EC0240A-B5FE-4574-B7BA-D0C563249F26}">
            <xm:f>NOT(ISERROR(SEARCH($Q$12,Q902)))</xm:f>
            <xm:f>$Q$12</xm:f>
            <x14:dxf>
              <fill>
                <patternFill>
                  <bgColor rgb="FFFFFF00"/>
                </patternFill>
              </fill>
            </x14:dxf>
          </x14:cfRule>
          <x14:cfRule type="containsText" priority="1264" operator="containsText" id="{563B9BC5-4B9D-4DAF-8FEB-156E464F852B}">
            <xm:f>NOT(ISERROR(SEARCH($Q$12,Q902)))</xm:f>
            <xm:f>$Q$12</xm:f>
            <x14:dxf>
              <fill>
                <patternFill>
                  <bgColor theme="9" tint="0.79998168889431442"/>
                </patternFill>
              </fill>
            </x14:dxf>
          </x14:cfRule>
          <x14:cfRule type="containsText" priority="1265" operator="containsText" id="{C10983E5-09B8-4199-9BAB-DEC936B5CC86}">
            <xm:f>NOT(ISERROR(SEARCH($Q$12,Q902)))</xm:f>
            <xm:f>$Q$12</xm:f>
            <x14:dxf>
              <fill>
                <patternFill>
                  <bgColor theme="9" tint="0.39994506668294322"/>
                </patternFill>
              </fill>
            </x14:dxf>
          </x14:cfRule>
          <x14:cfRule type="containsText" priority="1267" operator="containsText" id="{2AE8A1EC-DA15-4D4E-9C86-864E307BB207}">
            <xm:f>NOT(ISERROR(SEARCH($Q$12,Q902)))</xm:f>
            <xm:f>$Q$12</xm:f>
            <x14:dxf/>
          </x14:cfRule>
          <x14:cfRule type="containsText" priority="1275" operator="containsText" id="{81B87A55-7737-45BE-B9A2-C8CC78E94B3D}">
            <xm:f>NOT(ISERROR(SEARCH($Q$12,Q902)))</xm:f>
            <xm:f>$Q$12</xm:f>
            <x14:dxf>
              <fill>
                <patternFill>
                  <bgColor rgb="FFFF0000"/>
                </patternFill>
              </fill>
            </x14:dxf>
          </x14:cfRule>
          <x14:cfRule type="containsText" priority="1273" operator="containsText" id="{AF3A160C-3A65-42D7-A6BF-A0077ECE819B}">
            <xm:f>NOT(ISERROR(SEARCH($Q$12,Q902)))</xm:f>
            <xm:f>$Q$12</xm:f>
            <x14:dxf>
              <fill>
                <patternFill>
                  <bgColor rgb="FFFFFF00"/>
                </patternFill>
              </fill>
            </x14:dxf>
          </x14:cfRule>
          <x14:cfRule type="containsText" priority="1274" operator="containsText" id="{886C54B7-A07B-4BC3-8287-48357DC19B25}">
            <xm:f>NOT(ISERROR(SEARCH($Q$12,Q902)))</xm:f>
            <xm:f>$Q$12</xm:f>
            <x14:dxf>
              <fill>
                <patternFill>
                  <bgColor rgb="FFFFC000"/>
                </patternFill>
              </fill>
            </x14:dxf>
          </x14:cfRule>
          <x14:cfRule type="containsText" priority="1268" operator="containsText" id="{BE4C0DEC-0FDF-4F4E-82AC-A9B9678E2CCE}">
            <xm:f>NOT(ISERROR(SEARCH($Q$12,Q902)))</xm:f>
            <xm:f>$Q$12</xm:f>
            <x14:dxf>
              <fill>
                <patternFill>
                  <bgColor rgb="FFFFFF00"/>
                </patternFill>
              </fill>
            </x14:dxf>
          </x14:cfRule>
          <x14:cfRule type="containsText" priority="1269" operator="containsText" id="{E8E4CE0E-07E4-4B05-B285-BEEC07DF27F7}">
            <xm:f>NOT(ISERROR(SEARCH($Q$12,Q902)))</xm:f>
            <xm:f>$Q$12</xm:f>
            <x14:dxf>
              <fill>
                <patternFill>
                  <bgColor rgb="FFFFC000"/>
                </patternFill>
              </fill>
            </x14:dxf>
          </x14:cfRule>
          <x14:cfRule type="containsText" priority="1270" operator="containsText" id="{F96D7B74-553F-4B47-876C-8A74E0B4EA38}">
            <xm:f>NOT(ISERROR(SEARCH($Q$12,Q902)))</xm:f>
            <xm:f>$Q$12</xm:f>
            <x14:dxf>
              <fill>
                <patternFill>
                  <bgColor rgb="FFFF0000"/>
                </patternFill>
              </fill>
            </x14:dxf>
          </x14:cfRule>
          <x14:cfRule type="containsText" priority="1271" operator="containsText" id="{A9F7236D-678D-414B-A519-E1B863E33626}">
            <xm:f>NOT(ISERROR(SEARCH($Q$12,Q902)))</xm:f>
            <xm:f>$Q$12</xm:f>
            <x14:dxf>
              <fill>
                <patternFill>
                  <bgColor theme="9" tint="0.59996337778862885"/>
                </patternFill>
              </fill>
            </x14:dxf>
          </x14:cfRule>
          <xm:sqref>Q902</xm:sqref>
        </x14:conditionalFormatting>
        <x14:conditionalFormatting xmlns:xm="http://schemas.microsoft.com/office/excel/2006/main">
          <x14:cfRule type="containsText" priority="1218" operator="containsText" id="{2B816959-908D-46BD-94EF-8F7B0E7062F7}">
            <xm:f>NOT(ISERROR(SEARCH($Q$12,Q912)))</xm:f>
            <xm:f>$Q$12</xm:f>
            <x14:dxf>
              <fill>
                <patternFill>
                  <bgColor rgb="FF00B050"/>
                </patternFill>
              </fill>
            </x14:dxf>
          </x14:cfRule>
          <x14:cfRule type="containsText" priority="1217" operator="containsText" id="{48092CE2-C66A-4EDB-A77C-1C84E8AD94F2}">
            <xm:f>NOT(ISERROR(SEARCH($Q$12,Q912)))</xm:f>
            <xm:f>$Q$12</xm:f>
            <x14:dxf>
              <fill>
                <patternFill>
                  <bgColor theme="9" tint="0.39994506668294322"/>
                </patternFill>
              </fill>
            </x14:dxf>
          </x14:cfRule>
          <x14:cfRule type="containsText" priority="1227" operator="containsText" id="{90184960-4158-492A-B630-B13D41F1E233}">
            <xm:f>NOT(ISERROR(SEARCH($Q$12,Q912)))</xm:f>
            <xm:f>$Q$12</xm:f>
            <x14:dxf>
              <fill>
                <patternFill>
                  <bgColor rgb="FFFF0000"/>
                </patternFill>
              </fill>
            </x14:dxf>
          </x14:cfRule>
          <x14:cfRule type="containsText" priority="1226" operator="containsText" id="{EC8711AE-56D2-4654-885D-7C177CCFE278}">
            <xm:f>NOT(ISERROR(SEARCH($Q$12,Q912)))</xm:f>
            <xm:f>$Q$12</xm:f>
            <x14:dxf>
              <fill>
                <patternFill>
                  <bgColor rgb="FFFFC000"/>
                </patternFill>
              </fill>
            </x14:dxf>
          </x14:cfRule>
          <x14:cfRule type="containsText" priority="1224" operator="containsText" id="{3929C1D4-27BC-46E0-A0DF-1412F192DC81}">
            <xm:f>NOT(ISERROR(SEARCH($Q$12,Q912)))</xm:f>
            <xm:f>$Q$12</xm:f>
            <x14:dxf>
              <fill>
                <patternFill>
                  <bgColor theme="9"/>
                </patternFill>
              </fill>
            </x14:dxf>
          </x14:cfRule>
          <x14:cfRule type="containsText" priority="1223" operator="containsText" id="{FC79769C-B14F-48A6-B1EA-969589E2194B}">
            <xm:f>NOT(ISERROR(SEARCH($Q$12,Q912)))</xm:f>
            <xm:f>$Q$12</xm:f>
            <x14:dxf>
              <fill>
                <patternFill>
                  <bgColor theme="9" tint="0.59996337778862885"/>
                </patternFill>
              </fill>
            </x14:dxf>
          </x14:cfRule>
          <x14:cfRule type="containsText" priority="1222" operator="containsText" id="{C30AD031-8082-4A82-A57F-BEDB77F566E5}">
            <xm:f>NOT(ISERROR(SEARCH($Q$12,Q912)))</xm:f>
            <xm:f>$Q$12</xm:f>
            <x14:dxf>
              <fill>
                <patternFill>
                  <bgColor rgb="FFFF0000"/>
                </patternFill>
              </fill>
            </x14:dxf>
          </x14:cfRule>
          <x14:cfRule type="containsText" priority="1216" operator="containsText" id="{FBF85940-AE6A-4A4B-B95B-D1D0C916A777}">
            <xm:f>NOT(ISERROR(SEARCH($Q$12,Q912)))</xm:f>
            <xm:f>$Q$12</xm:f>
            <x14:dxf>
              <fill>
                <patternFill>
                  <bgColor theme="9" tint="0.79998168889431442"/>
                </patternFill>
              </fill>
            </x14:dxf>
          </x14:cfRule>
          <x14:cfRule type="containsText" priority="1220" operator="containsText" id="{EE9B5809-4575-4F34-BB35-F5E0E9BD32DC}">
            <xm:f>NOT(ISERROR(SEARCH($Q$12,Q912)))</xm:f>
            <xm:f>$Q$12</xm:f>
            <x14:dxf>
              <fill>
                <patternFill>
                  <bgColor rgb="FFFFFF00"/>
                </patternFill>
              </fill>
            </x14:dxf>
          </x14:cfRule>
          <x14:cfRule type="containsText" priority="1225" operator="containsText" id="{F9BEB509-CA50-432F-B4CA-D107DFC5D7A8}">
            <xm:f>NOT(ISERROR(SEARCH($Q$12,Q912)))</xm:f>
            <xm:f>$Q$12</xm:f>
            <x14:dxf>
              <fill>
                <patternFill>
                  <bgColor rgb="FFFFFF00"/>
                </patternFill>
              </fill>
            </x14:dxf>
          </x14:cfRule>
          <x14:cfRule type="containsText" priority="1215" operator="containsText" id="{70298285-831A-4970-AC97-031942DEFBB4}">
            <xm:f>NOT(ISERROR(SEARCH($Q$12,Q912)))</xm:f>
            <xm:f>$Q$12</xm:f>
            <x14:dxf>
              <fill>
                <patternFill>
                  <bgColor rgb="FFFFFF00"/>
                </patternFill>
              </fill>
            </x14:dxf>
          </x14:cfRule>
          <x14:cfRule type="containsText" priority="1221" operator="containsText" id="{E595FB62-FF70-4A47-8122-3730D27E7859}">
            <xm:f>NOT(ISERROR(SEARCH($Q$12,Q912)))</xm:f>
            <xm:f>$Q$12</xm:f>
            <x14:dxf>
              <fill>
                <patternFill>
                  <bgColor rgb="FFFFC000"/>
                </patternFill>
              </fill>
            </x14:dxf>
          </x14:cfRule>
          <x14:cfRule type="containsText" priority="1219" operator="containsText" id="{36C20960-C239-4C3E-BE85-C02BB2F0F6A9}">
            <xm:f>NOT(ISERROR(SEARCH($Q$12,Q912)))</xm:f>
            <xm:f>$Q$12</xm:f>
            <x14:dxf/>
          </x14:cfRule>
          <xm:sqref>Q912</xm:sqref>
        </x14:conditionalFormatting>
        <x14:conditionalFormatting xmlns:xm="http://schemas.microsoft.com/office/excel/2006/main">
          <x14:cfRule type="containsText" priority="1179" operator="containsText" id="{C2AA841E-FDDF-4249-8631-7BEFEF1E4430}">
            <xm:f>NOT(ISERROR(SEARCH($Q$12,Q922)))</xm:f>
            <xm:f>$Q$12</xm:f>
            <x14:dxf>
              <fill>
                <patternFill>
                  <bgColor rgb="FFFF0000"/>
                </patternFill>
              </fill>
            </x14:dxf>
          </x14:cfRule>
          <x14:cfRule type="containsText" priority="1178" operator="containsText" id="{603611B9-EA07-4DEB-83C7-437A1E6601E6}">
            <xm:f>NOT(ISERROR(SEARCH($Q$12,Q922)))</xm:f>
            <xm:f>$Q$12</xm:f>
            <x14:dxf>
              <fill>
                <patternFill>
                  <bgColor rgb="FFFFC000"/>
                </patternFill>
              </fill>
            </x14:dxf>
          </x14:cfRule>
          <x14:cfRule type="containsText" priority="1177" operator="containsText" id="{B902EB73-62A4-4E86-8A92-BFF083F1E24C}">
            <xm:f>NOT(ISERROR(SEARCH($Q$12,Q922)))</xm:f>
            <xm:f>$Q$12</xm:f>
            <x14:dxf>
              <fill>
                <patternFill>
                  <bgColor rgb="FFFFFF00"/>
                </patternFill>
              </fill>
            </x14:dxf>
          </x14:cfRule>
          <x14:cfRule type="containsText" priority="1176" operator="containsText" id="{98D0A65A-F60A-404F-8271-2AE770EB674A}">
            <xm:f>NOT(ISERROR(SEARCH($Q$12,Q922)))</xm:f>
            <xm:f>$Q$12</xm:f>
            <x14:dxf>
              <fill>
                <patternFill>
                  <bgColor theme="9"/>
                </patternFill>
              </fill>
            </x14:dxf>
          </x14:cfRule>
          <x14:cfRule type="containsText" priority="1175" operator="containsText" id="{35870738-B149-40D2-9D21-1907262C18B4}">
            <xm:f>NOT(ISERROR(SEARCH($Q$12,Q922)))</xm:f>
            <xm:f>$Q$12</xm:f>
            <x14:dxf>
              <fill>
                <patternFill>
                  <bgColor theme="9" tint="0.59996337778862885"/>
                </patternFill>
              </fill>
            </x14:dxf>
          </x14:cfRule>
          <x14:cfRule type="containsText" priority="1174" operator="containsText" id="{F5D8FB97-C731-4F4D-8AC3-B27B5FF8AC44}">
            <xm:f>NOT(ISERROR(SEARCH($Q$12,Q922)))</xm:f>
            <xm:f>$Q$12</xm:f>
            <x14:dxf>
              <fill>
                <patternFill>
                  <bgColor rgb="FFFF0000"/>
                </patternFill>
              </fill>
            </x14:dxf>
          </x14:cfRule>
          <x14:cfRule type="containsText" priority="1173" operator="containsText" id="{52F8F9EE-55F0-4F7D-A8AE-98F2ECE24E2F}">
            <xm:f>NOT(ISERROR(SEARCH($Q$12,Q922)))</xm:f>
            <xm:f>$Q$12</xm:f>
            <x14:dxf>
              <fill>
                <patternFill>
                  <bgColor rgb="FFFFC000"/>
                </patternFill>
              </fill>
            </x14:dxf>
          </x14:cfRule>
          <x14:cfRule type="containsText" priority="1172" operator="containsText" id="{9A56661A-7C7D-4A11-B061-614DC3710E0A}">
            <xm:f>NOT(ISERROR(SEARCH($Q$12,Q922)))</xm:f>
            <xm:f>$Q$12</xm:f>
            <x14:dxf>
              <fill>
                <patternFill>
                  <bgColor rgb="FFFFFF00"/>
                </patternFill>
              </fill>
            </x14:dxf>
          </x14:cfRule>
          <x14:cfRule type="containsText" priority="1171" operator="containsText" id="{712F7071-3589-4B3C-AFA2-E5DA477E932D}">
            <xm:f>NOT(ISERROR(SEARCH($Q$12,Q922)))</xm:f>
            <xm:f>$Q$12</xm:f>
            <x14:dxf/>
          </x14:cfRule>
          <x14:cfRule type="containsText" priority="1170" operator="containsText" id="{567462DD-2D4C-4A9F-A44C-858E10EC2231}">
            <xm:f>NOT(ISERROR(SEARCH($Q$12,Q922)))</xm:f>
            <xm:f>$Q$12</xm:f>
            <x14:dxf>
              <fill>
                <patternFill>
                  <bgColor rgb="FF00B050"/>
                </patternFill>
              </fill>
            </x14:dxf>
          </x14:cfRule>
          <x14:cfRule type="containsText" priority="1169" operator="containsText" id="{AF95FA64-64E0-488F-8294-351E3B434529}">
            <xm:f>NOT(ISERROR(SEARCH($Q$12,Q922)))</xm:f>
            <xm:f>$Q$12</xm:f>
            <x14:dxf>
              <fill>
                <patternFill>
                  <bgColor theme="9" tint="0.39994506668294322"/>
                </patternFill>
              </fill>
            </x14:dxf>
          </x14:cfRule>
          <x14:cfRule type="containsText" priority="1168" operator="containsText" id="{9E70F1FD-2DCB-4284-9357-9FDBC892104B}">
            <xm:f>NOT(ISERROR(SEARCH($Q$12,Q922)))</xm:f>
            <xm:f>$Q$12</xm:f>
            <x14:dxf>
              <fill>
                <patternFill>
                  <bgColor theme="9" tint="0.79998168889431442"/>
                </patternFill>
              </fill>
            </x14:dxf>
          </x14:cfRule>
          <x14:cfRule type="containsText" priority="1167" operator="containsText" id="{5027E03D-373D-4660-81CD-327789E22369}">
            <xm:f>NOT(ISERROR(SEARCH($Q$12,Q922)))</xm:f>
            <xm:f>$Q$12</xm:f>
            <x14:dxf>
              <fill>
                <patternFill>
                  <bgColor rgb="FFFFFF00"/>
                </patternFill>
              </fill>
            </x14:dxf>
          </x14:cfRule>
          <xm:sqref>Q922</xm:sqref>
        </x14:conditionalFormatting>
        <x14:conditionalFormatting xmlns:xm="http://schemas.microsoft.com/office/excel/2006/main">
          <x14:cfRule type="containsText" priority="1130" operator="containsText" id="{F32618E8-691E-4A41-8C79-C74D53132C1C}">
            <xm:f>NOT(ISERROR(SEARCH($Q$12,Q932)))</xm:f>
            <xm:f>$Q$12</xm:f>
            <x14:dxf>
              <fill>
                <patternFill>
                  <bgColor rgb="FFFFC000"/>
                </patternFill>
              </fill>
            </x14:dxf>
          </x14:cfRule>
          <x14:cfRule type="containsText" priority="1131" operator="containsText" id="{243C0B86-A11F-4A3A-8481-33431BD6F8A5}">
            <xm:f>NOT(ISERROR(SEARCH($Q$12,Q932)))</xm:f>
            <xm:f>$Q$12</xm:f>
            <x14:dxf>
              <fill>
                <patternFill>
                  <bgColor rgb="FFFF0000"/>
                </patternFill>
              </fill>
            </x14:dxf>
          </x14:cfRule>
          <x14:cfRule type="containsText" priority="1121" operator="containsText" id="{448F4C21-5A12-4070-AE41-E9DEB4B60659}">
            <xm:f>NOT(ISERROR(SEARCH($Q$12,Q932)))</xm:f>
            <xm:f>$Q$12</xm:f>
            <x14:dxf>
              <fill>
                <patternFill>
                  <bgColor theme="9" tint="0.39994506668294322"/>
                </patternFill>
              </fill>
            </x14:dxf>
          </x14:cfRule>
          <x14:cfRule type="containsText" priority="1122" operator="containsText" id="{2AFF8FE2-E352-4F36-A1FF-9B515B27F525}">
            <xm:f>NOT(ISERROR(SEARCH($Q$12,Q932)))</xm:f>
            <xm:f>$Q$12</xm:f>
            <x14:dxf>
              <fill>
                <patternFill>
                  <bgColor rgb="FF00B050"/>
                </patternFill>
              </fill>
            </x14:dxf>
          </x14:cfRule>
          <x14:cfRule type="containsText" priority="1123" operator="containsText" id="{2881A461-57E2-4A28-8A1E-A325F818BFA3}">
            <xm:f>NOT(ISERROR(SEARCH($Q$12,Q932)))</xm:f>
            <xm:f>$Q$12</xm:f>
            <x14:dxf/>
          </x14:cfRule>
          <x14:cfRule type="containsText" priority="1124" operator="containsText" id="{61AC60E7-3812-4804-8623-EEAD4AE1554F}">
            <xm:f>NOT(ISERROR(SEARCH($Q$12,Q932)))</xm:f>
            <xm:f>$Q$12</xm:f>
            <x14:dxf>
              <fill>
                <patternFill>
                  <bgColor rgb="FFFFFF00"/>
                </patternFill>
              </fill>
            </x14:dxf>
          </x14:cfRule>
          <x14:cfRule type="containsText" priority="1119" operator="containsText" id="{5088CBA7-0398-4970-8BD9-43F5703AC0EE}">
            <xm:f>NOT(ISERROR(SEARCH($Q$12,Q932)))</xm:f>
            <xm:f>$Q$12</xm:f>
            <x14:dxf>
              <fill>
                <patternFill>
                  <bgColor rgb="FFFFFF00"/>
                </patternFill>
              </fill>
            </x14:dxf>
          </x14:cfRule>
          <x14:cfRule type="containsText" priority="1120" operator="containsText" id="{4DF2B0D3-677A-452C-B696-F490C605C18B}">
            <xm:f>NOT(ISERROR(SEARCH($Q$12,Q932)))</xm:f>
            <xm:f>$Q$12</xm:f>
            <x14:dxf>
              <fill>
                <patternFill>
                  <bgColor theme="9" tint="0.79998168889431442"/>
                </patternFill>
              </fill>
            </x14:dxf>
          </x14:cfRule>
          <x14:cfRule type="containsText" priority="1127" operator="containsText" id="{83157231-DAEE-4E68-8F09-2F8DD925E5DE}">
            <xm:f>NOT(ISERROR(SEARCH($Q$12,Q932)))</xm:f>
            <xm:f>$Q$12</xm:f>
            <x14:dxf>
              <fill>
                <patternFill>
                  <bgColor theme="9" tint="0.59996337778862885"/>
                </patternFill>
              </fill>
            </x14:dxf>
          </x14:cfRule>
          <x14:cfRule type="containsText" priority="1125" operator="containsText" id="{FD58C78D-CD36-43A6-8C93-F00D612AF210}">
            <xm:f>NOT(ISERROR(SEARCH($Q$12,Q932)))</xm:f>
            <xm:f>$Q$12</xm:f>
            <x14:dxf>
              <fill>
                <patternFill>
                  <bgColor rgb="FFFFC000"/>
                </patternFill>
              </fill>
            </x14:dxf>
          </x14:cfRule>
          <x14:cfRule type="containsText" priority="1126" operator="containsText" id="{956EB645-3C75-443A-A3C8-1B1B8B5863DE}">
            <xm:f>NOT(ISERROR(SEARCH($Q$12,Q932)))</xm:f>
            <xm:f>$Q$12</xm:f>
            <x14:dxf>
              <fill>
                <patternFill>
                  <bgColor rgb="FFFF0000"/>
                </patternFill>
              </fill>
            </x14:dxf>
          </x14:cfRule>
          <x14:cfRule type="containsText" priority="1128" operator="containsText" id="{7FA99D99-B595-4216-81F9-89F4E74726D9}">
            <xm:f>NOT(ISERROR(SEARCH($Q$12,Q932)))</xm:f>
            <xm:f>$Q$12</xm:f>
            <x14:dxf>
              <fill>
                <patternFill>
                  <bgColor theme="9"/>
                </patternFill>
              </fill>
            </x14:dxf>
          </x14:cfRule>
          <x14:cfRule type="containsText" priority="1129" operator="containsText" id="{CFBDDE6C-6341-4BC9-8FC8-5AEA606F51C2}">
            <xm:f>NOT(ISERROR(SEARCH($Q$12,Q932)))</xm:f>
            <xm:f>$Q$12</xm:f>
            <x14:dxf>
              <fill>
                <patternFill>
                  <bgColor rgb="FFFFFF00"/>
                </patternFill>
              </fill>
            </x14:dxf>
          </x14:cfRule>
          <xm:sqref>Q932</xm:sqref>
        </x14:conditionalFormatting>
        <x14:conditionalFormatting xmlns:xm="http://schemas.microsoft.com/office/excel/2006/main">
          <x14:cfRule type="containsText" priority="896" operator="containsText" id="{711F28AD-461B-4C1A-BB43-30A1647A95C8}">
            <xm:f>NOT(ISERROR(SEARCH($Q$12,Q942)))</xm:f>
            <xm:f>$Q$12</xm:f>
            <x14:dxf>
              <fill>
                <patternFill>
                  <bgColor rgb="FFFF0000"/>
                </patternFill>
              </fill>
            </x14:dxf>
          </x14:cfRule>
          <x14:cfRule type="containsText" priority="895" operator="containsText" id="{3F02F730-816C-4408-B321-998DE5823695}">
            <xm:f>NOT(ISERROR(SEARCH($Q$12,Q942)))</xm:f>
            <xm:f>$Q$12</xm:f>
            <x14:dxf>
              <fill>
                <patternFill>
                  <bgColor rgb="FFFFC000"/>
                </patternFill>
              </fill>
            </x14:dxf>
          </x14:cfRule>
          <x14:cfRule type="containsText" priority="894" operator="containsText" id="{10A895BB-DCEE-4A6A-A7DD-8AE10E4FE868}">
            <xm:f>NOT(ISERROR(SEARCH($Q$12,Q942)))</xm:f>
            <xm:f>$Q$12</xm:f>
            <x14:dxf>
              <fill>
                <patternFill>
                  <bgColor rgb="FFFFFF00"/>
                </patternFill>
              </fill>
            </x14:dxf>
          </x14:cfRule>
          <x14:cfRule type="containsText" priority="893" operator="containsText" id="{BAD1E977-CC2B-457C-8495-CA9728B6EEBB}">
            <xm:f>NOT(ISERROR(SEARCH($Q$12,Q942)))</xm:f>
            <xm:f>$Q$12</xm:f>
            <x14:dxf>
              <fill>
                <patternFill>
                  <bgColor theme="9"/>
                </patternFill>
              </fill>
            </x14:dxf>
          </x14:cfRule>
          <x14:cfRule type="containsText" priority="892" operator="containsText" id="{E556C52A-3C73-4BBC-A56F-F4493D080A2A}">
            <xm:f>NOT(ISERROR(SEARCH($Q$12,Q942)))</xm:f>
            <xm:f>$Q$12</xm:f>
            <x14:dxf>
              <fill>
                <patternFill>
                  <bgColor theme="9" tint="0.59996337778862885"/>
                </patternFill>
              </fill>
            </x14:dxf>
          </x14:cfRule>
          <x14:cfRule type="containsText" priority="890" operator="containsText" id="{F3C02435-D132-42B3-B3B1-9F904D51DDE9}">
            <xm:f>NOT(ISERROR(SEARCH($Q$12,Q942)))</xm:f>
            <xm:f>$Q$12</xm:f>
            <x14:dxf>
              <fill>
                <patternFill>
                  <bgColor rgb="FFFFC000"/>
                </patternFill>
              </fill>
            </x14:dxf>
          </x14:cfRule>
          <x14:cfRule type="containsText" priority="889" operator="containsText" id="{C9496121-AB01-4D41-8B7E-9E409D625565}">
            <xm:f>NOT(ISERROR(SEARCH($Q$12,Q942)))</xm:f>
            <xm:f>$Q$12</xm:f>
            <x14:dxf>
              <fill>
                <patternFill>
                  <bgColor rgb="FFFFFF00"/>
                </patternFill>
              </fill>
            </x14:dxf>
          </x14:cfRule>
          <x14:cfRule type="containsText" priority="888" operator="containsText" id="{B7A041BB-AC50-452C-9C05-98655C9F9C75}">
            <xm:f>NOT(ISERROR(SEARCH($Q$12,Q942)))</xm:f>
            <xm:f>$Q$12</xm:f>
            <x14:dxf/>
          </x14:cfRule>
          <x14:cfRule type="containsText" priority="887" operator="containsText" id="{2F0FACC7-59DB-407A-B0C2-41F53AD5A9FB}">
            <xm:f>NOT(ISERROR(SEARCH($Q$12,Q942)))</xm:f>
            <xm:f>$Q$12</xm:f>
            <x14:dxf>
              <fill>
                <patternFill>
                  <bgColor rgb="FF00B050"/>
                </patternFill>
              </fill>
            </x14:dxf>
          </x14:cfRule>
          <x14:cfRule type="containsText" priority="886" operator="containsText" id="{BB46CD32-F5F7-4022-9A1F-E4373C95BB60}">
            <xm:f>NOT(ISERROR(SEARCH($Q$12,Q942)))</xm:f>
            <xm:f>$Q$12</xm:f>
            <x14:dxf>
              <fill>
                <patternFill>
                  <bgColor theme="9" tint="0.39994506668294322"/>
                </patternFill>
              </fill>
            </x14:dxf>
          </x14:cfRule>
          <x14:cfRule type="containsText" priority="885" operator="containsText" id="{8B6834E1-FEB2-470F-B3B8-062EA52A5CB1}">
            <xm:f>NOT(ISERROR(SEARCH($Q$12,Q942)))</xm:f>
            <xm:f>$Q$12</xm:f>
            <x14:dxf>
              <fill>
                <patternFill>
                  <bgColor theme="9" tint="0.79998168889431442"/>
                </patternFill>
              </fill>
            </x14:dxf>
          </x14:cfRule>
          <x14:cfRule type="containsText" priority="884" operator="containsText" id="{3413D416-29C9-41C1-B1CD-66245E4F8FB1}">
            <xm:f>NOT(ISERROR(SEARCH($Q$12,Q942)))</xm:f>
            <xm:f>$Q$12</xm:f>
            <x14:dxf>
              <fill>
                <patternFill>
                  <bgColor rgb="FFFFFF00"/>
                </patternFill>
              </fill>
            </x14:dxf>
          </x14:cfRule>
          <x14:cfRule type="containsText" priority="891" operator="containsText" id="{025D79BE-1A58-4CF3-B957-BC7C848FA86F}">
            <xm:f>NOT(ISERROR(SEARCH($Q$12,Q942)))</xm:f>
            <xm:f>$Q$12</xm:f>
            <x14:dxf>
              <fill>
                <patternFill>
                  <bgColor rgb="FFFF0000"/>
                </patternFill>
              </fill>
            </x14:dxf>
          </x14:cfRule>
          <xm:sqref>Q942</xm:sqref>
        </x14:conditionalFormatting>
        <x14:conditionalFormatting xmlns:xm="http://schemas.microsoft.com/office/excel/2006/main">
          <x14:cfRule type="containsText" priority="809" operator="containsText" id="{C6436D8A-F644-41F4-883A-28A4319785A1}">
            <xm:f>NOT(ISERROR(SEARCH($Q$12,Q952)))</xm:f>
            <xm:f>$Q$12</xm:f>
            <x14:dxf>
              <fill>
                <patternFill>
                  <bgColor theme="9" tint="0.59996337778862885"/>
                </patternFill>
              </fill>
            </x14:dxf>
          </x14:cfRule>
          <x14:cfRule type="containsText" priority="804" operator="containsText" id="{CBAF1354-35B8-4391-A540-069A1CAC9313}">
            <xm:f>NOT(ISERROR(SEARCH($Q$12,Q952)))</xm:f>
            <xm:f>$Q$12</xm:f>
            <x14:dxf>
              <fill>
                <patternFill>
                  <bgColor rgb="FF00B050"/>
                </patternFill>
              </fill>
            </x14:dxf>
          </x14:cfRule>
          <x14:cfRule type="containsText" priority="801" operator="containsText" id="{F64EF5F9-D625-44DC-B28F-93C7B0FC2620}">
            <xm:f>NOT(ISERROR(SEARCH($Q$12,Q952)))</xm:f>
            <xm:f>$Q$12</xm:f>
            <x14:dxf>
              <fill>
                <patternFill>
                  <bgColor rgb="FFFFFF00"/>
                </patternFill>
              </fill>
            </x14:dxf>
          </x14:cfRule>
          <x14:cfRule type="containsText" priority="802" operator="containsText" id="{8FA00880-E7E2-43E7-AADE-F692DEBFA2EB}">
            <xm:f>NOT(ISERROR(SEARCH($Q$12,Q952)))</xm:f>
            <xm:f>$Q$12</xm:f>
            <x14:dxf>
              <fill>
                <patternFill>
                  <bgColor theme="9" tint="0.79998168889431442"/>
                </patternFill>
              </fill>
            </x14:dxf>
          </x14:cfRule>
          <x14:cfRule type="containsText" priority="813" operator="containsText" id="{35B44C08-B316-417C-A231-C1239AD661E9}">
            <xm:f>NOT(ISERROR(SEARCH($Q$12,Q952)))</xm:f>
            <xm:f>$Q$12</xm:f>
            <x14:dxf>
              <fill>
                <patternFill>
                  <bgColor rgb="FFFF0000"/>
                </patternFill>
              </fill>
            </x14:dxf>
          </x14:cfRule>
          <x14:cfRule type="containsText" priority="805" operator="containsText" id="{3E7CA788-94C2-4F35-9A01-CF00CAF66C65}">
            <xm:f>NOT(ISERROR(SEARCH($Q$12,Q952)))</xm:f>
            <xm:f>$Q$12</xm:f>
            <x14:dxf/>
          </x14:cfRule>
          <x14:cfRule type="containsText" priority="808" operator="containsText" id="{276B90F1-93D1-45F6-9C9B-09716A03843C}">
            <xm:f>NOT(ISERROR(SEARCH($Q$12,Q952)))</xm:f>
            <xm:f>$Q$12</xm:f>
            <x14:dxf>
              <fill>
                <patternFill>
                  <bgColor rgb="FFFF0000"/>
                </patternFill>
              </fill>
            </x14:dxf>
          </x14:cfRule>
          <x14:cfRule type="containsText" priority="807" operator="containsText" id="{0208DF75-29DB-4298-8230-BE13A054FB82}">
            <xm:f>NOT(ISERROR(SEARCH($Q$12,Q952)))</xm:f>
            <xm:f>$Q$12</xm:f>
            <x14:dxf>
              <fill>
                <patternFill>
                  <bgColor rgb="FFFFC000"/>
                </patternFill>
              </fill>
            </x14:dxf>
          </x14:cfRule>
          <x14:cfRule type="containsText" priority="811" operator="containsText" id="{553C1511-E86A-4716-B7C5-995A7524AAC4}">
            <xm:f>NOT(ISERROR(SEARCH($Q$12,Q952)))</xm:f>
            <xm:f>$Q$12</xm:f>
            <x14:dxf>
              <fill>
                <patternFill>
                  <bgColor rgb="FFFFFF00"/>
                </patternFill>
              </fill>
            </x14:dxf>
          </x14:cfRule>
          <x14:cfRule type="containsText" priority="806" operator="containsText" id="{B27A6A09-8DD5-4A06-846B-2A18B69DA3C0}">
            <xm:f>NOT(ISERROR(SEARCH($Q$12,Q952)))</xm:f>
            <xm:f>$Q$12</xm:f>
            <x14:dxf>
              <fill>
                <patternFill>
                  <bgColor rgb="FFFFFF00"/>
                </patternFill>
              </fill>
            </x14:dxf>
          </x14:cfRule>
          <x14:cfRule type="containsText" priority="810" operator="containsText" id="{80C484F5-223B-407A-BF11-8D991038F84A}">
            <xm:f>NOT(ISERROR(SEARCH($Q$12,Q952)))</xm:f>
            <xm:f>$Q$12</xm:f>
            <x14:dxf>
              <fill>
                <patternFill>
                  <bgColor theme="9"/>
                </patternFill>
              </fill>
            </x14:dxf>
          </x14:cfRule>
          <x14:cfRule type="containsText" priority="812" operator="containsText" id="{7B076285-7970-47F4-8518-B4B8FAD0A30E}">
            <xm:f>NOT(ISERROR(SEARCH($Q$12,Q952)))</xm:f>
            <xm:f>$Q$12</xm:f>
            <x14:dxf>
              <fill>
                <patternFill>
                  <bgColor rgb="FFFFC000"/>
                </patternFill>
              </fill>
            </x14:dxf>
          </x14:cfRule>
          <x14:cfRule type="containsText" priority="803" operator="containsText" id="{9787C839-C21A-4106-AD51-B1887E73C571}">
            <xm:f>NOT(ISERROR(SEARCH($Q$12,Q952)))</xm:f>
            <xm:f>$Q$12</xm:f>
            <x14:dxf>
              <fill>
                <patternFill>
                  <bgColor theme="9" tint="0.39994506668294322"/>
                </patternFill>
              </fill>
            </x14:dxf>
          </x14:cfRule>
          <xm:sqref>Q952</xm:sqref>
        </x14:conditionalFormatting>
        <x14:conditionalFormatting xmlns:xm="http://schemas.microsoft.com/office/excel/2006/main">
          <x14:cfRule type="containsText" priority="654" operator="containsText" id="{A50A464E-8F0A-4ADE-8C5C-0D312B6F491F}">
            <xm:f>NOT(ISERROR(SEARCH($Q$12,Q962)))</xm:f>
            <xm:f>$Q$12</xm:f>
            <x14:dxf>
              <fill>
                <patternFill>
                  <bgColor rgb="FFFF0000"/>
                </patternFill>
              </fill>
            </x14:dxf>
          </x14:cfRule>
          <x14:cfRule type="containsText" priority="647" operator="containsText" id="{D29A21D5-6349-493B-BDE0-F5BB721A199A}">
            <xm:f>NOT(ISERROR(SEARCH($Q$12,Q962)))</xm:f>
            <xm:f>$Q$12</xm:f>
            <x14:dxf>
              <fill>
                <patternFill>
                  <bgColor rgb="FFFFFF00"/>
                </patternFill>
              </fill>
            </x14:dxf>
          </x14:cfRule>
          <x14:cfRule type="containsText" priority="648" operator="containsText" id="{B3DCC827-45B5-4276-96DE-9567C1C69189}">
            <xm:f>NOT(ISERROR(SEARCH($Q$12,Q962)))</xm:f>
            <xm:f>$Q$12</xm:f>
            <x14:dxf>
              <fill>
                <patternFill>
                  <bgColor theme="9" tint="0.79998168889431442"/>
                </patternFill>
              </fill>
            </x14:dxf>
          </x14:cfRule>
          <x14:cfRule type="containsText" priority="649" operator="containsText" id="{19016C11-8153-4165-8FD5-D587FD79AFD3}">
            <xm:f>NOT(ISERROR(SEARCH($Q$12,Q962)))</xm:f>
            <xm:f>$Q$12</xm:f>
            <x14:dxf>
              <fill>
                <patternFill>
                  <bgColor theme="9" tint="0.39994506668294322"/>
                </patternFill>
              </fill>
            </x14:dxf>
          </x14:cfRule>
          <x14:cfRule type="containsText" priority="650" operator="containsText" id="{A70AC381-2B9E-4013-95D2-4A287943F729}">
            <xm:f>NOT(ISERROR(SEARCH($Q$12,Q962)))</xm:f>
            <xm:f>$Q$12</xm:f>
            <x14:dxf>
              <fill>
                <patternFill>
                  <bgColor rgb="FF00B050"/>
                </patternFill>
              </fill>
            </x14:dxf>
          </x14:cfRule>
          <x14:cfRule type="containsText" priority="651" operator="containsText" id="{CDF6AA7C-D826-429B-8317-1706511B29AA}">
            <xm:f>NOT(ISERROR(SEARCH($Q$12,Q962)))</xm:f>
            <xm:f>$Q$12</xm:f>
            <x14:dxf/>
          </x14:cfRule>
          <x14:cfRule type="containsText" priority="652" operator="containsText" id="{B0BC5439-4543-4B3D-AD0F-FD46CA38519B}">
            <xm:f>NOT(ISERROR(SEARCH($Q$12,Q962)))</xm:f>
            <xm:f>$Q$12</xm:f>
            <x14:dxf>
              <fill>
                <patternFill>
                  <bgColor rgb="FFFFFF00"/>
                </patternFill>
              </fill>
            </x14:dxf>
          </x14:cfRule>
          <x14:cfRule type="containsText" priority="653" operator="containsText" id="{29C226B3-391F-4C57-920C-AC8B263FEC60}">
            <xm:f>NOT(ISERROR(SEARCH($Q$12,Q962)))</xm:f>
            <xm:f>$Q$12</xm:f>
            <x14:dxf>
              <fill>
                <patternFill>
                  <bgColor rgb="FFFFC000"/>
                </patternFill>
              </fill>
            </x14:dxf>
          </x14:cfRule>
          <x14:cfRule type="containsText" priority="655" operator="containsText" id="{3475F731-C5FD-4FF5-8606-2D9C1C33B6B2}">
            <xm:f>NOT(ISERROR(SEARCH($Q$12,Q962)))</xm:f>
            <xm:f>$Q$12</xm:f>
            <x14:dxf>
              <fill>
                <patternFill>
                  <bgColor theme="9" tint="0.59996337778862885"/>
                </patternFill>
              </fill>
            </x14:dxf>
          </x14:cfRule>
          <x14:cfRule type="containsText" priority="656" operator="containsText" id="{E79FC4CA-DA06-408C-8C7B-743F52BE92A3}">
            <xm:f>NOT(ISERROR(SEARCH($Q$12,Q962)))</xm:f>
            <xm:f>$Q$12</xm:f>
            <x14:dxf>
              <fill>
                <patternFill>
                  <bgColor theme="9"/>
                </patternFill>
              </fill>
            </x14:dxf>
          </x14:cfRule>
          <x14:cfRule type="containsText" priority="657" operator="containsText" id="{EB405720-D4BB-4DCA-9BE9-8700891F3A32}">
            <xm:f>NOT(ISERROR(SEARCH($Q$12,Q962)))</xm:f>
            <xm:f>$Q$12</xm:f>
            <x14:dxf>
              <fill>
                <patternFill>
                  <bgColor rgb="FFFFFF00"/>
                </patternFill>
              </fill>
            </x14:dxf>
          </x14:cfRule>
          <x14:cfRule type="containsText" priority="658" operator="containsText" id="{3899521D-1199-4247-B66E-A764AB5DADF6}">
            <xm:f>NOT(ISERROR(SEARCH($Q$12,Q962)))</xm:f>
            <xm:f>$Q$12</xm:f>
            <x14:dxf>
              <fill>
                <patternFill>
                  <bgColor rgb="FFFFC000"/>
                </patternFill>
              </fill>
            </x14:dxf>
          </x14:cfRule>
          <x14:cfRule type="containsText" priority="659" operator="containsText" id="{B7580515-1D9F-4E2D-A877-E2B1648A8F87}">
            <xm:f>NOT(ISERROR(SEARCH($Q$12,Q962)))</xm:f>
            <xm:f>$Q$12</xm:f>
            <x14:dxf>
              <fill>
                <patternFill>
                  <bgColor rgb="FFFF0000"/>
                </patternFill>
              </fill>
            </x14:dxf>
          </x14:cfRule>
          <xm:sqref>Q962</xm:sqref>
        </x14:conditionalFormatting>
        <x14:conditionalFormatting xmlns:xm="http://schemas.microsoft.com/office/excel/2006/main">
          <x14:cfRule type="containsText" priority="515" operator="containsText" id="{88DB582F-F2D7-4D20-9DC9-906E5B1E8E50}">
            <xm:f>NOT(ISERROR(SEARCH($Q$12,Q972)))</xm:f>
            <xm:f>$Q$12</xm:f>
            <x14:dxf>
              <fill>
                <patternFill>
                  <bgColor rgb="FFFF0000"/>
                </patternFill>
              </fill>
            </x14:dxf>
          </x14:cfRule>
          <x14:cfRule type="containsText" priority="514" operator="containsText" id="{717840C2-3062-452A-9295-A28E0D8E93EA}">
            <xm:f>NOT(ISERROR(SEARCH($Q$12,Q972)))</xm:f>
            <xm:f>$Q$12</xm:f>
            <x14:dxf>
              <fill>
                <patternFill>
                  <bgColor rgb="FFFFC000"/>
                </patternFill>
              </fill>
            </x14:dxf>
          </x14:cfRule>
          <x14:cfRule type="containsText" priority="513" operator="containsText" id="{2CCD2074-C91F-4885-9BE7-9D2E757397D7}">
            <xm:f>NOT(ISERROR(SEARCH($Q$12,Q972)))</xm:f>
            <xm:f>$Q$12</xm:f>
            <x14:dxf>
              <fill>
                <patternFill>
                  <bgColor rgb="FFFFFF00"/>
                </patternFill>
              </fill>
            </x14:dxf>
          </x14:cfRule>
          <x14:cfRule type="containsText" priority="512" operator="containsText" id="{DA361F8A-A47D-4A6A-A5D4-50220E56C6A1}">
            <xm:f>NOT(ISERROR(SEARCH($Q$12,Q972)))</xm:f>
            <xm:f>$Q$12</xm:f>
            <x14:dxf>
              <fill>
                <patternFill>
                  <bgColor theme="9"/>
                </patternFill>
              </fill>
            </x14:dxf>
          </x14:cfRule>
          <x14:cfRule type="containsText" priority="511" operator="containsText" id="{62B1214F-B500-427F-88F9-A906DC026AA4}">
            <xm:f>NOT(ISERROR(SEARCH($Q$12,Q972)))</xm:f>
            <xm:f>$Q$12</xm:f>
            <x14:dxf>
              <fill>
                <patternFill>
                  <bgColor theme="9" tint="0.59996337778862885"/>
                </patternFill>
              </fill>
            </x14:dxf>
          </x14:cfRule>
          <x14:cfRule type="containsText" priority="510" operator="containsText" id="{6AAA50A9-4AB3-4308-A539-9904554868F6}">
            <xm:f>NOT(ISERROR(SEARCH($Q$12,Q972)))</xm:f>
            <xm:f>$Q$12</xm:f>
            <x14:dxf>
              <fill>
                <patternFill>
                  <bgColor rgb="FFFF0000"/>
                </patternFill>
              </fill>
            </x14:dxf>
          </x14:cfRule>
          <x14:cfRule type="containsText" priority="509" operator="containsText" id="{E3C7721F-0515-4151-92EE-4D1149237A3E}">
            <xm:f>NOT(ISERROR(SEARCH($Q$12,Q972)))</xm:f>
            <xm:f>$Q$12</xm:f>
            <x14:dxf>
              <fill>
                <patternFill>
                  <bgColor rgb="FFFFC000"/>
                </patternFill>
              </fill>
            </x14:dxf>
          </x14:cfRule>
          <x14:cfRule type="containsText" priority="507" operator="containsText" id="{EC81F637-F1CA-413E-814B-04F8F1085BED}">
            <xm:f>NOT(ISERROR(SEARCH($Q$12,Q972)))</xm:f>
            <xm:f>$Q$12</xm:f>
            <x14:dxf/>
          </x14:cfRule>
          <x14:cfRule type="containsText" priority="506" operator="containsText" id="{795118A7-A831-4942-9557-DDA8DAFB9F6B}">
            <xm:f>NOT(ISERROR(SEARCH($Q$12,Q972)))</xm:f>
            <xm:f>$Q$12</xm:f>
            <x14:dxf>
              <fill>
                <patternFill>
                  <bgColor rgb="FF00B050"/>
                </patternFill>
              </fill>
            </x14:dxf>
          </x14:cfRule>
          <x14:cfRule type="containsText" priority="505" operator="containsText" id="{04E4AF78-8F2A-42A0-95CF-2DD191A28B94}">
            <xm:f>NOT(ISERROR(SEARCH($Q$12,Q972)))</xm:f>
            <xm:f>$Q$12</xm:f>
            <x14:dxf>
              <fill>
                <patternFill>
                  <bgColor theme="9" tint="0.39994506668294322"/>
                </patternFill>
              </fill>
            </x14:dxf>
          </x14:cfRule>
          <x14:cfRule type="containsText" priority="504" operator="containsText" id="{51210870-E1BB-465F-925C-13A40E734746}">
            <xm:f>NOT(ISERROR(SEARCH($Q$12,Q972)))</xm:f>
            <xm:f>$Q$12</xm:f>
            <x14:dxf>
              <fill>
                <patternFill>
                  <bgColor theme="9" tint="0.79998168889431442"/>
                </patternFill>
              </fill>
            </x14:dxf>
          </x14:cfRule>
          <x14:cfRule type="containsText" priority="508" operator="containsText" id="{947BFE53-EE5A-4303-95C6-DC32C7CFFB48}">
            <xm:f>NOT(ISERROR(SEARCH($Q$12,Q972)))</xm:f>
            <xm:f>$Q$12</xm:f>
            <x14:dxf>
              <fill>
                <patternFill>
                  <bgColor rgb="FFFFFF00"/>
                </patternFill>
              </fill>
            </x14:dxf>
          </x14:cfRule>
          <x14:cfRule type="containsText" priority="503" operator="containsText" id="{BAB34771-43FA-4857-AFB5-89AFD93A95FA}">
            <xm:f>NOT(ISERROR(SEARCH($Q$12,Q972)))</xm:f>
            <xm:f>$Q$12</xm:f>
            <x14:dxf>
              <fill>
                <patternFill>
                  <bgColor rgb="FFFFFF00"/>
                </patternFill>
              </fill>
            </x14:dxf>
          </x14:cfRule>
          <xm:sqref>Q972</xm:sqref>
        </x14:conditionalFormatting>
        <x14:conditionalFormatting xmlns:xm="http://schemas.microsoft.com/office/excel/2006/main">
          <x14:cfRule type="containsText" priority="465" operator="containsText" id="{410A741E-5938-45C3-A670-48C6FF6322CA}">
            <xm:f>NOT(ISERROR(SEARCH($Q$12,Q982)))</xm:f>
            <xm:f>$Q$12</xm:f>
            <x14:dxf>
              <fill>
                <patternFill>
                  <bgColor rgb="FFFFFF00"/>
                </patternFill>
              </fill>
            </x14:dxf>
          </x14:cfRule>
          <x14:cfRule type="containsText" priority="464" operator="containsText" id="{93A3E4D0-66FB-458D-A556-F516605846AB}">
            <xm:f>NOT(ISERROR(SEARCH($Q$12,Q982)))</xm:f>
            <xm:f>$Q$12</xm:f>
            <x14:dxf>
              <fill>
                <patternFill>
                  <bgColor theme="9"/>
                </patternFill>
              </fill>
            </x14:dxf>
          </x14:cfRule>
          <x14:cfRule type="containsText" priority="463" operator="containsText" id="{DE5CEAF6-5756-4484-AA39-891A5DE62367}">
            <xm:f>NOT(ISERROR(SEARCH($Q$12,Q982)))</xm:f>
            <xm:f>$Q$12</xm:f>
            <x14:dxf>
              <fill>
                <patternFill>
                  <bgColor theme="9" tint="0.59996337778862885"/>
                </patternFill>
              </fill>
            </x14:dxf>
          </x14:cfRule>
          <x14:cfRule type="containsText" priority="462" operator="containsText" id="{9E7D1C88-C127-4579-A330-D1E52CE0F521}">
            <xm:f>NOT(ISERROR(SEARCH($Q$12,Q982)))</xm:f>
            <xm:f>$Q$12</xm:f>
            <x14:dxf>
              <fill>
                <patternFill>
                  <bgColor rgb="FFFF0000"/>
                </patternFill>
              </fill>
            </x14:dxf>
          </x14:cfRule>
          <x14:cfRule type="containsText" priority="466" operator="containsText" id="{19DA556A-D375-4F7B-A27A-E2AB6A0D67D0}">
            <xm:f>NOT(ISERROR(SEARCH($Q$12,Q982)))</xm:f>
            <xm:f>$Q$12</xm:f>
            <x14:dxf>
              <fill>
                <patternFill>
                  <bgColor rgb="FFFFC000"/>
                </patternFill>
              </fill>
            </x14:dxf>
          </x14:cfRule>
          <x14:cfRule type="containsText" priority="461" operator="containsText" id="{FE98764F-E763-4004-9AF3-91ADC88FA479}">
            <xm:f>NOT(ISERROR(SEARCH($Q$12,Q982)))</xm:f>
            <xm:f>$Q$12</xm:f>
            <x14:dxf>
              <fill>
                <patternFill>
                  <bgColor rgb="FFFFC000"/>
                </patternFill>
              </fill>
            </x14:dxf>
          </x14:cfRule>
          <x14:cfRule type="containsText" priority="460" operator="containsText" id="{E00E6BC3-FB05-4026-A995-CDB8A2E42A44}">
            <xm:f>NOT(ISERROR(SEARCH($Q$12,Q982)))</xm:f>
            <xm:f>$Q$12</xm:f>
            <x14:dxf>
              <fill>
                <patternFill>
                  <bgColor rgb="FFFFFF00"/>
                </patternFill>
              </fill>
            </x14:dxf>
          </x14:cfRule>
          <x14:cfRule type="containsText" priority="459" operator="containsText" id="{CA67FBB5-4F96-4AB5-A16D-06314204DB46}">
            <xm:f>NOT(ISERROR(SEARCH($Q$12,Q982)))</xm:f>
            <xm:f>$Q$12</xm:f>
            <x14:dxf/>
          </x14:cfRule>
          <x14:cfRule type="containsText" priority="458" operator="containsText" id="{44E46E46-FE67-4173-A7BF-4CA03C4A3B12}">
            <xm:f>NOT(ISERROR(SEARCH($Q$12,Q982)))</xm:f>
            <xm:f>$Q$12</xm:f>
            <x14:dxf>
              <fill>
                <patternFill>
                  <bgColor rgb="FF00B050"/>
                </patternFill>
              </fill>
            </x14:dxf>
          </x14:cfRule>
          <x14:cfRule type="containsText" priority="457" operator="containsText" id="{9EF2CDDC-E85B-4292-8EF2-FEC917178640}">
            <xm:f>NOT(ISERROR(SEARCH($Q$12,Q982)))</xm:f>
            <xm:f>$Q$12</xm:f>
            <x14:dxf>
              <fill>
                <patternFill>
                  <bgColor theme="9" tint="0.39994506668294322"/>
                </patternFill>
              </fill>
            </x14:dxf>
          </x14:cfRule>
          <x14:cfRule type="containsText" priority="455" operator="containsText" id="{9E19F888-D53C-46B6-A9E3-02A4C32BD7FD}">
            <xm:f>NOT(ISERROR(SEARCH($Q$12,Q982)))</xm:f>
            <xm:f>$Q$12</xm:f>
            <x14:dxf>
              <fill>
                <patternFill>
                  <bgColor rgb="FFFFFF00"/>
                </patternFill>
              </fill>
            </x14:dxf>
          </x14:cfRule>
          <x14:cfRule type="containsText" priority="467" operator="containsText" id="{6B8965A3-DAE3-4CA6-A67A-33282DEA759B}">
            <xm:f>NOT(ISERROR(SEARCH($Q$12,Q982)))</xm:f>
            <xm:f>$Q$12</xm:f>
            <x14:dxf>
              <fill>
                <patternFill>
                  <bgColor rgb="FFFF0000"/>
                </patternFill>
              </fill>
            </x14:dxf>
          </x14:cfRule>
          <x14:cfRule type="containsText" priority="456" operator="containsText" id="{F233ED6C-D417-4E73-90DA-0D93198431EC}">
            <xm:f>NOT(ISERROR(SEARCH($Q$12,Q982)))</xm:f>
            <xm:f>$Q$12</xm:f>
            <x14:dxf>
              <fill>
                <patternFill>
                  <bgColor theme="9" tint="0.79998168889431442"/>
                </patternFill>
              </fill>
            </x14:dxf>
          </x14:cfRule>
          <xm:sqref>Q982</xm:sqref>
        </x14:conditionalFormatting>
        <x14:conditionalFormatting xmlns:xm="http://schemas.microsoft.com/office/excel/2006/main">
          <x14:cfRule type="containsText" priority="410" operator="containsText" id="{394017A1-30AD-49AB-8A1A-5B791751CD58}">
            <xm:f>NOT(ISERROR(SEARCH($Q$12,Q992)))</xm:f>
            <xm:f>$Q$12</xm:f>
            <x14:dxf>
              <fill>
                <patternFill>
                  <bgColor rgb="FF00B050"/>
                </patternFill>
              </fill>
            </x14:dxf>
          </x14:cfRule>
          <x14:cfRule type="containsText" priority="411" operator="containsText" id="{719E076F-B5E7-4285-A345-6890F8198914}">
            <xm:f>NOT(ISERROR(SEARCH($Q$12,Q992)))</xm:f>
            <xm:f>$Q$12</xm:f>
            <x14:dxf/>
          </x14:cfRule>
          <x14:cfRule type="containsText" priority="412" operator="containsText" id="{0C4BC413-CCDD-49A3-A134-F9B6C0E666AE}">
            <xm:f>NOT(ISERROR(SEARCH($Q$12,Q992)))</xm:f>
            <xm:f>$Q$12</xm:f>
            <x14:dxf>
              <fill>
                <patternFill>
                  <bgColor rgb="FFFFFF00"/>
                </patternFill>
              </fill>
            </x14:dxf>
          </x14:cfRule>
          <x14:cfRule type="containsText" priority="413" operator="containsText" id="{C63E095A-4DDA-4BBF-ACF2-EECB279D4C07}">
            <xm:f>NOT(ISERROR(SEARCH($Q$12,Q992)))</xm:f>
            <xm:f>$Q$12</xm:f>
            <x14:dxf>
              <fill>
                <patternFill>
                  <bgColor rgb="FFFFC000"/>
                </patternFill>
              </fill>
            </x14:dxf>
          </x14:cfRule>
          <x14:cfRule type="containsText" priority="414" operator="containsText" id="{E035843A-8143-4315-A045-305F5430C35A}">
            <xm:f>NOT(ISERROR(SEARCH($Q$12,Q992)))</xm:f>
            <xm:f>$Q$12</xm:f>
            <x14:dxf>
              <fill>
                <patternFill>
                  <bgColor rgb="FFFF0000"/>
                </patternFill>
              </fill>
            </x14:dxf>
          </x14:cfRule>
          <x14:cfRule type="containsText" priority="415" operator="containsText" id="{3229264F-7E27-46E3-B700-510B46829FB9}">
            <xm:f>NOT(ISERROR(SEARCH($Q$12,Q992)))</xm:f>
            <xm:f>$Q$12</xm:f>
            <x14:dxf>
              <fill>
                <patternFill>
                  <bgColor theme="9" tint="0.59996337778862885"/>
                </patternFill>
              </fill>
            </x14:dxf>
          </x14:cfRule>
          <x14:cfRule type="containsText" priority="416" operator="containsText" id="{B5184DBC-4A8F-4CDF-87CA-10A7C65ADAEE}">
            <xm:f>NOT(ISERROR(SEARCH($Q$12,Q992)))</xm:f>
            <xm:f>$Q$12</xm:f>
            <x14:dxf>
              <fill>
                <patternFill>
                  <bgColor theme="9"/>
                </patternFill>
              </fill>
            </x14:dxf>
          </x14:cfRule>
          <x14:cfRule type="containsText" priority="417" operator="containsText" id="{D4E3520E-7C07-48D5-842A-8A8E3F4755BE}">
            <xm:f>NOT(ISERROR(SEARCH($Q$12,Q992)))</xm:f>
            <xm:f>$Q$12</xm:f>
            <x14:dxf>
              <fill>
                <patternFill>
                  <bgColor rgb="FFFFFF00"/>
                </patternFill>
              </fill>
            </x14:dxf>
          </x14:cfRule>
          <x14:cfRule type="containsText" priority="418" operator="containsText" id="{F6E503A0-89DB-44C7-9737-82FBB7DE6580}">
            <xm:f>NOT(ISERROR(SEARCH($Q$12,Q992)))</xm:f>
            <xm:f>$Q$12</xm:f>
            <x14:dxf>
              <fill>
                <patternFill>
                  <bgColor rgb="FFFFC000"/>
                </patternFill>
              </fill>
            </x14:dxf>
          </x14:cfRule>
          <x14:cfRule type="containsText" priority="419" operator="containsText" id="{D11B67DD-1C7B-47F0-9265-E88FA0AA3E7D}">
            <xm:f>NOT(ISERROR(SEARCH($Q$12,Q992)))</xm:f>
            <xm:f>$Q$12</xm:f>
            <x14:dxf>
              <fill>
                <patternFill>
                  <bgColor rgb="FFFF0000"/>
                </patternFill>
              </fill>
            </x14:dxf>
          </x14:cfRule>
          <x14:cfRule type="containsText" priority="407" operator="containsText" id="{17F20401-2682-445D-8326-565B301E2AD8}">
            <xm:f>NOT(ISERROR(SEARCH($Q$12,Q992)))</xm:f>
            <xm:f>$Q$12</xm:f>
            <x14:dxf>
              <fill>
                <patternFill>
                  <bgColor rgb="FFFFFF00"/>
                </patternFill>
              </fill>
            </x14:dxf>
          </x14:cfRule>
          <x14:cfRule type="containsText" priority="408" operator="containsText" id="{35BE6140-402D-4A5D-8467-9F15E3CBD713}">
            <xm:f>NOT(ISERROR(SEARCH($Q$12,Q992)))</xm:f>
            <xm:f>$Q$12</xm:f>
            <x14:dxf>
              <fill>
                <patternFill>
                  <bgColor theme="9" tint="0.79998168889431442"/>
                </patternFill>
              </fill>
            </x14:dxf>
          </x14:cfRule>
          <x14:cfRule type="containsText" priority="409" operator="containsText" id="{88142AC6-DF16-4015-AB21-FB08593B62F1}">
            <xm:f>NOT(ISERROR(SEARCH($Q$12,Q992)))</xm:f>
            <xm:f>$Q$12</xm:f>
            <x14:dxf>
              <fill>
                <patternFill>
                  <bgColor theme="9" tint="0.39994506668294322"/>
                </patternFill>
              </fill>
            </x14:dxf>
          </x14:cfRule>
          <xm:sqref>Q992</xm:sqref>
        </x14:conditionalFormatting>
        <x14:conditionalFormatting xmlns:xm="http://schemas.microsoft.com/office/excel/2006/main">
          <x14:cfRule type="containsText" priority="233" operator="containsText" id="{758BC3E9-63B5-47BD-BE1F-1FE3492380B1}">
            <xm:f>NOT(ISERROR(SEARCH($Q$12,Q1002)))</xm:f>
            <xm:f>$Q$12</xm:f>
            <x14:dxf>
              <fill>
                <patternFill>
                  <bgColor rgb="FFFFFF00"/>
                </patternFill>
              </fill>
            </x14:dxf>
          </x14:cfRule>
          <x14:cfRule type="containsText" priority="234" operator="containsText" id="{43647DC4-7E8E-447C-9EF5-B50A20509A4F}">
            <xm:f>NOT(ISERROR(SEARCH($Q$12,Q1002)))</xm:f>
            <xm:f>$Q$12</xm:f>
            <x14:dxf>
              <fill>
                <patternFill>
                  <bgColor rgb="FFFFC000"/>
                </patternFill>
              </fill>
            </x14:dxf>
          </x14:cfRule>
          <x14:cfRule type="containsText" priority="235" operator="containsText" id="{F4DB72C4-C923-493F-881B-7572FBC6220B}">
            <xm:f>NOT(ISERROR(SEARCH($Q$12,Q1002)))</xm:f>
            <xm:f>$Q$12</xm:f>
            <x14:dxf>
              <fill>
                <patternFill>
                  <bgColor rgb="FFFF0000"/>
                </patternFill>
              </fill>
            </x14:dxf>
          </x14:cfRule>
          <x14:cfRule type="containsText" priority="230" operator="containsText" id="{FC9F22A9-EC17-47F2-9D3B-887E27D31C25}">
            <xm:f>NOT(ISERROR(SEARCH($Q$12,Q1002)))</xm:f>
            <xm:f>$Q$12</xm:f>
            <x14:dxf>
              <fill>
                <patternFill>
                  <bgColor rgb="FFFF0000"/>
                </patternFill>
              </fill>
            </x14:dxf>
          </x14:cfRule>
          <x14:cfRule type="containsText" priority="231" operator="containsText" id="{92E6941E-B7A4-4281-8395-F09ED9F560C7}">
            <xm:f>NOT(ISERROR(SEARCH($Q$12,Q1002)))</xm:f>
            <xm:f>$Q$12</xm:f>
            <x14:dxf>
              <fill>
                <patternFill>
                  <bgColor theme="9" tint="0.59996337778862885"/>
                </patternFill>
              </fill>
            </x14:dxf>
          </x14:cfRule>
          <x14:cfRule type="containsText" priority="232" operator="containsText" id="{6D85F4F0-BF50-4062-B9F4-2E0848BAE5F3}">
            <xm:f>NOT(ISERROR(SEARCH($Q$12,Q1002)))</xm:f>
            <xm:f>$Q$12</xm:f>
            <x14:dxf>
              <fill>
                <patternFill>
                  <bgColor theme="9"/>
                </patternFill>
              </fill>
            </x14:dxf>
          </x14:cfRule>
          <x14:cfRule type="containsText" priority="229" operator="containsText" id="{F651D479-29A5-471C-A93D-2B3E92A53AE2}">
            <xm:f>NOT(ISERROR(SEARCH($Q$12,Q1002)))</xm:f>
            <xm:f>$Q$12</xm:f>
            <x14:dxf>
              <fill>
                <patternFill>
                  <bgColor rgb="FFFFC000"/>
                </patternFill>
              </fill>
            </x14:dxf>
          </x14:cfRule>
          <x14:cfRule type="containsText" priority="223" operator="containsText" id="{F3A6EB15-9148-4863-A243-88915077C5D7}">
            <xm:f>NOT(ISERROR(SEARCH($Q$12,Q1002)))</xm:f>
            <xm:f>$Q$12</xm:f>
            <x14:dxf>
              <fill>
                <patternFill>
                  <bgColor rgb="FFFFFF00"/>
                </patternFill>
              </fill>
            </x14:dxf>
          </x14:cfRule>
          <x14:cfRule type="containsText" priority="224" operator="containsText" id="{EB61428E-BC2D-41A1-A81E-411A666EAE5C}">
            <xm:f>NOT(ISERROR(SEARCH($Q$12,Q1002)))</xm:f>
            <xm:f>$Q$12</xm:f>
            <x14:dxf>
              <fill>
                <patternFill>
                  <bgColor theme="9" tint="0.79998168889431442"/>
                </patternFill>
              </fill>
            </x14:dxf>
          </x14:cfRule>
          <x14:cfRule type="containsText" priority="228" operator="containsText" id="{C86E77F7-949F-4940-A89F-D0C777BE2AAE}">
            <xm:f>NOT(ISERROR(SEARCH($Q$12,Q1002)))</xm:f>
            <xm:f>$Q$12</xm:f>
            <x14:dxf>
              <fill>
                <patternFill>
                  <bgColor rgb="FFFFFF00"/>
                </patternFill>
              </fill>
            </x14:dxf>
          </x14:cfRule>
          <x14:cfRule type="containsText" priority="227" operator="containsText" id="{79A21EA1-E80D-41BF-B972-6CD566E4DA5D}">
            <xm:f>NOT(ISERROR(SEARCH($Q$12,Q1002)))</xm:f>
            <xm:f>$Q$12</xm:f>
            <x14:dxf/>
          </x14:cfRule>
          <x14:cfRule type="containsText" priority="225" operator="containsText" id="{59AE00C3-C6D3-4D44-A652-8DB91AC4FF05}">
            <xm:f>NOT(ISERROR(SEARCH($Q$12,Q1002)))</xm:f>
            <xm:f>$Q$12</xm:f>
            <x14:dxf>
              <fill>
                <patternFill>
                  <bgColor theme="9" tint="0.39994506668294322"/>
                </patternFill>
              </fill>
            </x14:dxf>
          </x14:cfRule>
          <x14:cfRule type="containsText" priority="226" operator="containsText" id="{2C12B189-79E8-491F-9599-86881098803E}">
            <xm:f>NOT(ISERROR(SEARCH($Q$12,Q1002)))</xm:f>
            <xm:f>$Q$12</xm:f>
            <x14:dxf>
              <fill>
                <patternFill>
                  <bgColor rgb="FF00B050"/>
                </patternFill>
              </fill>
            </x14:dxf>
          </x14:cfRule>
          <xm:sqref>Q1002</xm:sqref>
        </x14:conditionalFormatting>
        <x14:conditionalFormatting xmlns:xm="http://schemas.microsoft.com/office/excel/2006/main">
          <x14:cfRule type="containsText" priority="179" operator="containsText" id="{488F4302-61FF-4A41-96CD-E6E021613942}">
            <xm:f>NOT(ISERROR(SEARCH($Q$12,Q1012)))</xm:f>
            <xm:f>$Q$12</xm:f>
            <x14:dxf/>
          </x14:cfRule>
          <x14:cfRule type="containsText" priority="176" operator="containsText" id="{63245ED3-D5C2-47BA-998F-971735B3F3E8}">
            <xm:f>NOT(ISERROR(SEARCH($Q$12,Q1012)))</xm:f>
            <xm:f>$Q$12</xm:f>
            <x14:dxf>
              <fill>
                <patternFill>
                  <bgColor theme="9" tint="0.79998168889431442"/>
                </patternFill>
              </fill>
            </x14:dxf>
          </x14:cfRule>
          <x14:cfRule type="containsText" priority="175" operator="containsText" id="{DB5CD81B-D522-4420-90AE-957FC4B484A1}">
            <xm:f>NOT(ISERROR(SEARCH($Q$12,Q1012)))</xm:f>
            <xm:f>$Q$12</xm:f>
            <x14:dxf>
              <fill>
                <patternFill>
                  <bgColor rgb="FFFFFF00"/>
                </patternFill>
              </fill>
            </x14:dxf>
          </x14:cfRule>
          <x14:cfRule type="containsText" priority="178" operator="containsText" id="{97778CDF-7720-4778-B79B-50786792D097}">
            <xm:f>NOT(ISERROR(SEARCH($Q$12,Q1012)))</xm:f>
            <xm:f>$Q$12</xm:f>
            <x14:dxf>
              <fill>
                <patternFill>
                  <bgColor rgb="FF00B050"/>
                </patternFill>
              </fill>
            </x14:dxf>
          </x14:cfRule>
          <x14:cfRule type="containsText" priority="185" operator="containsText" id="{86EB4DCC-AEDD-4D8D-B3BE-F35FC5E2AF58}">
            <xm:f>NOT(ISERROR(SEARCH($Q$12,Q1012)))</xm:f>
            <xm:f>$Q$12</xm:f>
            <x14:dxf>
              <fill>
                <patternFill>
                  <bgColor rgb="FFFFFF00"/>
                </patternFill>
              </fill>
            </x14:dxf>
          </x14:cfRule>
          <x14:cfRule type="containsText" priority="186" operator="containsText" id="{99DD4AA6-8207-4EFF-8AB0-5FB9A515C6D8}">
            <xm:f>NOT(ISERROR(SEARCH($Q$12,Q1012)))</xm:f>
            <xm:f>$Q$12</xm:f>
            <x14:dxf>
              <fill>
                <patternFill>
                  <bgColor rgb="FFFFC000"/>
                </patternFill>
              </fill>
            </x14:dxf>
          </x14:cfRule>
          <x14:cfRule type="containsText" priority="187" operator="containsText" id="{E62E354F-B55C-40FD-9F73-23B59392468C}">
            <xm:f>NOT(ISERROR(SEARCH($Q$12,Q1012)))</xm:f>
            <xm:f>$Q$12</xm:f>
            <x14:dxf>
              <fill>
                <patternFill>
                  <bgColor rgb="FFFF0000"/>
                </patternFill>
              </fill>
            </x14:dxf>
          </x14:cfRule>
          <x14:cfRule type="containsText" priority="177" operator="containsText" id="{163833CB-DEF9-4B5E-B1FA-9E49E47FAE00}">
            <xm:f>NOT(ISERROR(SEARCH($Q$12,Q1012)))</xm:f>
            <xm:f>$Q$12</xm:f>
            <x14:dxf>
              <fill>
                <patternFill>
                  <bgColor theme="9" tint="0.39994506668294322"/>
                </patternFill>
              </fill>
            </x14:dxf>
          </x14:cfRule>
          <x14:cfRule type="containsText" priority="180" operator="containsText" id="{57E4E999-0A1F-479B-8E89-7BA7D6896723}">
            <xm:f>NOT(ISERROR(SEARCH($Q$12,Q1012)))</xm:f>
            <xm:f>$Q$12</xm:f>
            <x14:dxf>
              <fill>
                <patternFill>
                  <bgColor rgb="FFFFFF00"/>
                </patternFill>
              </fill>
            </x14:dxf>
          </x14:cfRule>
          <x14:cfRule type="containsText" priority="184" operator="containsText" id="{A8B5113D-2655-4079-8BA7-BFD434963CEC}">
            <xm:f>NOT(ISERROR(SEARCH($Q$12,Q1012)))</xm:f>
            <xm:f>$Q$12</xm:f>
            <x14:dxf>
              <fill>
                <patternFill>
                  <bgColor theme="9"/>
                </patternFill>
              </fill>
            </x14:dxf>
          </x14:cfRule>
          <x14:cfRule type="containsText" priority="183" operator="containsText" id="{581DAFC3-DE67-4451-85B5-70EE3DFC59F6}">
            <xm:f>NOT(ISERROR(SEARCH($Q$12,Q1012)))</xm:f>
            <xm:f>$Q$12</xm:f>
            <x14:dxf>
              <fill>
                <patternFill>
                  <bgColor theme="9" tint="0.59996337778862885"/>
                </patternFill>
              </fill>
            </x14:dxf>
          </x14:cfRule>
          <x14:cfRule type="containsText" priority="182" operator="containsText" id="{D33191D3-8610-41AC-8970-F82242BCD32E}">
            <xm:f>NOT(ISERROR(SEARCH($Q$12,Q1012)))</xm:f>
            <xm:f>$Q$12</xm:f>
            <x14:dxf>
              <fill>
                <patternFill>
                  <bgColor rgb="FFFF0000"/>
                </patternFill>
              </fill>
            </x14:dxf>
          </x14:cfRule>
          <x14:cfRule type="containsText" priority="181" operator="containsText" id="{20B4D37E-26EF-4485-93D8-42701F545C2D}">
            <xm:f>NOT(ISERROR(SEARCH($Q$12,Q1012)))</xm:f>
            <xm:f>$Q$12</xm:f>
            <x14:dxf>
              <fill>
                <patternFill>
                  <bgColor rgb="FFFFC000"/>
                </patternFill>
              </fill>
            </x14:dxf>
          </x14:cfRule>
          <xm:sqref>Q1012</xm:sqref>
        </x14:conditionalFormatting>
        <x14:conditionalFormatting xmlns:xm="http://schemas.microsoft.com/office/excel/2006/main">
          <x14:cfRule type="containsText" priority="10149" operator="containsText" id="{7E7CCB58-E041-44BB-B3C0-D67485670915}">
            <xm:f>NOT(ISERROR(SEARCH($Q$12,T12)))</xm:f>
            <xm:f>$Q$12</xm:f>
            <x14:dxf/>
          </x14:cfRule>
          <x14:cfRule type="containsText" priority="10150" operator="containsText" id="{49DBC1A2-C899-44E0-84B9-9296A436BE59}">
            <xm:f>NOT(ISERROR(SEARCH($Q$12,T12)))</xm:f>
            <xm:f>$Q$12</xm:f>
            <x14:dxf>
              <fill>
                <patternFill>
                  <bgColor rgb="FFFFFF00"/>
                </patternFill>
              </fill>
            </x14:dxf>
          </x14:cfRule>
          <x14:cfRule type="containsText" priority="10152" operator="containsText" id="{1426F6D9-857B-4F5F-A41F-9995707AC9E0}">
            <xm:f>NOT(ISERROR(SEARCH($Q$12,T12)))</xm:f>
            <xm:f>$Q$12</xm:f>
            <x14:dxf>
              <fill>
                <patternFill>
                  <bgColor rgb="FFFF0000"/>
                </patternFill>
              </fill>
            </x14:dxf>
          </x14:cfRule>
          <x14:cfRule type="containsText" priority="10153" operator="containsText" id="{0E8B28A5-C972-4CEF-B216-102392165FFA}">
            <xm:f>NOT(ISERROR(SEARCH($Q$12,T12)))</xm:f>
            <xm:f>$Q$12</xm:f>
            <x14:dxf>
              <fill>
                <patternFill>
                  <bgColor theme="9" tint="0.59996337778862885"/>
                </patternFill>
              </fill>
            </x14:dxf>
          </x14:cfRule>
          <x14:cfRule type="containsText" priority="10154" operator="containsText" id="{CCB563B4-ABE2-4C41-8B6B-7F213DAD6970}">
            <xm:f>NOT(ISERROR(SEARCH($Q$12,T12)))</xm:f>
            <xm:f>$Q$12</xm:f>
            <x14:dxf>
              <fill>
                <patternFill>
                  <bgColor theme="9"/>
                </patternFill>
              </fill>
            </x14:dxf>
          </x14:cfRule>
          <x14:cfRule type="containsText" priority="10155" operator="containsText" id="{B2D73E6E-F5FC-4B3D-B932-7B10631DC8E8}">
            <xm:f>NOT(ISERROR(SEARCH($Q$12,T12)))</xm:f>
            <xm:f>$Q$12</xm:f>
            <x14:dxf>
              <fill>
                <patternFill>
                  <bgColor rgb="FFFFFF00"/>
                </patternFill>
              </fill>
            </x14:dxf>
          </x14:cfRule>
          <x14:cfRule type="containsText" priority="10156" operator="containsText" id="{045BCCEF-E96D-4EA2-91E1-90902E63FDD1}">
            <xm:f>NOT(ISERROR(SEARCH($Q$12,T12)))</xm:f>
            <xm:f>$Q$12</xm:f>
            <x14:dxf>
              <fill>
                <patternFill>
                  <bgColor rgb="FFFFC000"/>
                </patternFill>
              </fill>
            </x14:dxf>
          </x14:cfRule>
          <x14:cfRule type="containsText" priority="10157" operator="containsText" id="{021F7B63-B62A-4C79-A9A0-DB97117EC4F8}">
            <xm:f>NOT(ISERROR(SEARCH($Q$12,T12)))</xm:f>
            <xm:f>$Q$12</xm:f>
            <x14:dxf>
              <fill>
                <patternFill>
                  <bgColor rgb="FFFF0000"/>
                </patternFill>
              </fill>
            </x14:dxf>
          </x14:cfRule>
          <x14:cfRule type="containsText" priority="10148" operator="containsText" id="{8F8F6B4A-C409-445D-9228-03664AB5739A}">
            <xm:f>NOT(ISERROR(SEARCH($Q$12,T12)))</xm:f>
            <xm:f>$Q$12</xm:f>
            <x14:dxf>
              <fill>
                <patternFill>
                  <bgColor rgb="FF00B050"/>
                </patternFill>
              </fill>
            </x14:dxf>
          </x14:cfRule>
          <x14:cfRule type="containsText" priority="10151" operator="containsText" id="{D28E35C0-6D0E-4C88-B15C-D1FA571A8A83}">
            <xm:f>NOT(ISERROR(SEARCH($Q$12,T12)))</xm:f>
            <xm:f>$Q$12</xm:f>
            <x14:dxf>
              <fill>
                <patternFill>
                  <bgColor rgb="FFFFC000"/>
                </patternFill>
              </fill>
            </x14:dxf>
          </x14:cfRule>
          <x14:cfRule type="containsText" priority="10145" operator="containsText" id="{1FBCE572-F483-4974-AF5E-1D7A07C0E509}">
            <xm:f>NOT(ISERROR(SEARCH($Q$12,T12)))</xm:f>
            <xm:f>$Q$12</xm:f>
            <x14:dxf>
              <fill>
                <patternFill>
                  <bgColor rgb="FFFFFF00"/>
                </patternFill>
              </fill>
            </x14:dxf>
          </x14:cfRule>
          <x14:cfRule type="containsText" priority="10146" operator="containsText" id="{4401AAA9-B6DF-4793-8BC5-A9702CBA00C6}">
            <xm:f>NOT(ISERROR(SEARCH($Q$12,T12)))</xm:f>
            <xm:f>$Q$12</xm:f>
            <x14:dxf>
              <fill>
                <patternFill>
                  <bgColor theme="9" tint="0.79998168889431442"/>
                </patternFill>
              </fill>
            </x14:dxf>
          </x14:cfRule>
          <x14:cfRule type="containsText" priority="10147" operator="containsText" id="{2888A29B-4219-4115-8A56-47E01A812B0D}">
            <xm:f>NOT(ISERROR(SEARCH($Q$12,T12)))</xm:f>
            <xm:f>$Q$12</xm:f>
            <x14:dxf>
              <fill>
                <patternFill>
                  <bgColor theme="9" tint="0.39994506668294322"/>
                </patternFill>
              </fill>
            </x14:dxf>
          </x14:cfRule>
          <xm:sqref>T12</xm:sqref>
        </x14:conditionalFormatting>
        <x14:conditionalFormatting xmlns:xm="http://schemas.microsoft.com/office/excel/2006/main">
          <x14:cfRule type="containsText" priority="10064" operator="containsText" id="{92E04C47-AFF6-4785-9E65-9179B49A555A}">
            <xm:f>NOT(ISERROR(SEARCH($Q$12,T22)))</xm:f>
            <xm:f>$Q$12</xm:f>
            <x14:dxf>
              <fill>
                <patternFill>
                  <bgColor theme="9" tint="0.39994506668294322"/>
                </patternFill>
              </fill>
            </x14:dxf>
          </x14:cfRule>
          <x14:cfRule type="containsText" priority="10067" operator="containsText" id="{F9B0617A-D3E1-42FD-AF3E-CF78A5A5624E}">
            <xm:f>NOT(ISERROR(SEARCH($Q$12,T22)))</xm:f>
            <xm:f>$Q$12</xm:f>
            <x14:dxf>
              <fill>
                <patternFill>
                  <bgColor rgb="FFFFFF00"/>
                </patternFill>
              </fill>
            </x14:dxf>
          </x14:cfRule>
          <x14:cfRule type="containsText" priority="10066" operator="containsText" id="{FF9BA9E8-F6E1-4BC8-BD4A-8322FD9358C1}">
            <xm:f>NOT(ISERROR(SEARCH($Q$12,T22)))</xm:f>
            <xm:f>$Q$12</xm:f>
            <x14:dxf/>
          </x14:cfRule>
          <x14:cfRule type="containsText" priority="10065" operator="containsText" id="{BFB9FC54-87CB-44EF-BE30-774352419B36}">
            <xm:f>NOT(ISERROR(SEARCH($Q$12,T22)))</xm:f>
            <xm:f>$Q$12</xm:f>
            <x14:dxf>
              <fill>
                <patternFill>
                  <bgColor rgb="FF00B050"/>
                </patternFill>
              </fill>
            </x14:dxf>
          </x14:cfRule>
          <x14:cfRule type="containsText" priority="10062" operator="containsText" id="{61E627E2-9229-47F9-A299-B8D7E70DFFB5}">
            <xm:f>NOT(ISERROR(SEARCH($Q$12,T22)))</xm:f>
            <xm:f>$Q$12</xm:f>
            <x14:dxf>
              <fill>
                <patternFill>
                  <bgColor rgb="FFFFFF00"/>
                </patternFill>
              </fill>
            </x14:dxf>
          </x14:cfRule>
          <x14:cfRule type="containsText" priority="10074" operator="containsText" id="{4844D65B-4659-4004-AE99-0B333153AB83}">
            <xm:f>NOT(ISERROR(SEARCH($Q$12,T22)))</xm:f>
            <xm:f>$Q$12</xm:f>
            <x14:dxf>
              <fill>
                <patternFill>
                  <bgColor rgb="FFFF0000"/>
                </patternFill>
              </fill>
            </x14:dxf>
          </x14:cfRule>
          <x14:cfRule type="containsText" priority="10073" operator="containsText" id="{7D2674D7-A8F7-4AE0-9CDB-293865BF0B76}">
            <xm:f>NOT(ISERROR(SEARCH($Q$12,T22)))</xm:f>
            <xm:f>$Q$12</xm:f>
            <x14:dxf>
              <fill>
                <patternFill>
                  <bgColor rgb="FFFFC000"/>
                </patternFill>
              </fill>
            </x14:dxf>
          </x14:cfRule>
          <x14:cfRule type="containsText" priority="10072" operator="containsText" id="{4F16AE28-3C95-4493-965E-953ADCD984F0}">
            <xm:f>NOT(ISERROR(SEARCH($Q$12,T22)))</xm:f>
            <xm:f>$Q$12</xm:f>
            <x14:dxf>
              <fill>
                <patternFill>
                  <bgColor rgb="FFFFFF00"/>
                </patternFill>
              </fill>
            </x14:dxf>
          </x14:cfRule>
          <x14:cfRule type="containsText" priority="10071" operator="containsText" id="{00B5F2CC-D7A3-41D8-BA07-672DB16BD21D}">
            <xm:f>NOT(ISERROR(SEARCH($Q$12,T22)))</xm:f>
            <xm:f>$Q$12</xm:f>
            <x14:dxf>
              <fill>
                <patternFill>
                  <bgColor theme="9"/>
                </patternFill>
              </fill>
            </x14:dxf>
          </x14:cfRule>
          <x14:cfRule type="containsText" priority="10070" operator="containsText" id="{0E751722-1842-4DA6-AD3E-B6171C1247AB}">
            <xm:f>NOT(ISERROR(SEARCH($Q$12,T22)))</xm:f>
            <xm:f>$Q$12</xm:f>
            <x14:dxf>
              <fill>
                <patternFill>
                  <bgColor theme="9" tint="0.59996337778862885"/>
                </patternFill>
              </fill>
            </x14:dxf>
          </x14:cfRule>
          <x14:cfRule type="containsText" priority="10069" operator="containsText" id="{5696A796-8E79-4212-B6D2-CBBBEB7568B6}">
            <xm:f>NOT(ISERROR(SEARCH($Q$12,T22)))</xm:f>
            <xm:f>$Q$12</xm:f>
            <x14:dxf>
              <fill>
                <patternFill>
                  <bgColor rgb="FFFF0000"/>
                </patternFill>
              </fill>
            </x14:dxf>
          </x14:cfRule>
          <x14:cfRule type="containsText" priority="10068" operator="containsText" id="{CCE21599-9DB4-475E-8B37-57B84FB29207}">
            <xm:f>NOT(ISERROR(SEARCH($Q$12,T22)))</xm:f>
            <xm:f>$Q$12</xm:f>
            <x14:dxf>
              <fill>
                <patternFill>
                  <bgColor rgb="FFFFC000"/>
                </patternFill>
              </fill>
            </x14:dxf>
          </x14:cfRule>
          <x14:cfRule type="containsText" priority="10063" operator="containsText" id="{C5DB7EB1-4A62-48A0-BE9A-EE9E7DB2759F}">
            <xm:f>NOT(ISERROR(SEARCH($Q$12,T22)))</xm:f>
            <xm:f>$Q$12</xm:f>
            <x14:dxf>
              <fill>
                <patternFill>
                  <bgColor theme="9" tint="0.79998168889431442"/>
                </patternFill>
              </fill>
            </x14:dxf>
          </x14:cfRule>
          <xm:sqref>T22</xm:sqref>
        </x14:conditionalFormatting>
        <x14:conditionalFormatting xmlns:xm="http://schemas.microsoft.com/office/excel/2006/main">
          <x14:cfRule type="containsText" priority="11860" operator="containsText" id="{84370C48-605B-44AC-9CE2-8092D8187D42}">
            <xm:f>NOT(ISERROR(SEARCH($Q$12,T32)))</xm:f>
            <xm:f>$Q$12</xm:f>
            <x14:dxf/>
          </x14:cfRule>
          <x14:cfRule type="containsText" priority="11859" operator="containsText" id="{FCAD3E25-A181-479C-8E5B-6D6E8877FAA3}">
            <xm:f>NOT(ISERROR(SEARCH($Q$12,T32)))</xm:f>
            <xm:f>$Q$12</xm:f>
            <x14:dxf>
              <fill>
                <patternFill>
                  <bgColor rgb="FF00B050"/>
                </patternFill>
              </fill>
            </x14:dxf>
          </x14:cfRule>
          <x14:cfRule type="containsText" priority="11865" operator="containsText" id="{565E0885-EF4A-49DF-87EE-2F7FF5A5A145}">
            <xm:f>NOT(ISERROR(SEARCH($Q$12,T32)))</xm:f>
            <xm:f>$Q$12</xm:f>
            <x14:dxf>
              <fill>
                <patternFill>
                  <bgColor theme="9"/>
                </patternFill>
              </fill>
            </x14:dxf>
          </x14:cfRule>
          <x14:cfRule type="containsText" priority="11866" operator="containsText" id="{93AB540F-512C-49D0-9867-274F091CF350}">
            <xm:f>NOT(ISERROR(SEARCH($Q$12,T32)))</xm:f>
            <xm:f>$Q$12</xm:f>
            <x14:dxf>
              <fill>
                <patternFill>
                  <bgColor rgb="FFFFFF00"/>
                </patternFill>
              </fill>
            </x14:dxf>
          </x14:cfRule>
          <x14:cfRule type="containsText" priority="11867" operator="containsText" id="{BBD334F5-6ACB-4445-9283-4E8A55D026D3}">
            <xm:f>NOT(ISERROR(SEARCH($Q$12,T32)))</xm:f>
            <xm:f>$Q$12</xm:f>
            <x14:dxf>
              <fill>
                <patternFill>
                  <bgColor rgb="FFFFC000"/>
                </patternFill>
              </fill>
            </x14:dxf>
          </x14:cfRule>
          <x14:cfRule type="containsText" priority="11857" operator="containsText" id="{C2DE7FA7-6F0B-432E-898A-C98A3649B527}">
            <xm:f>NOT(ISERROR(SEARCH($Q$12,T32)))</xm:f>
            <xm:f>$Q$12</xm:f>
            <x14:dxf>
              <fill>
                <patternFill>
                  <bgColor theme="9" tint="0.79998168889431442"/>
                </patternFill>
              </fill>
            </x14:dxf>
          </x14:cfRule>
          <x14:cfRule type="containsText" priority="11868" operator="containsText" id="{75061B07-8EA1-4C8B-8C58-B6FE977D1104}">
            <xm:f>NOT(ISERROR(SEARCH($Q$12,T32)))</xm:f>
            <xm:f>$Q$12</xm:f>
            <x14:dxf>
              <fill>
                <patternFill>
                  <bgColor rgb="FFFF0000"/>
                </patternFill>
              </fill>
            </x14:dxf>
          </x14:cfRule>
          <x14:cfRule type="containsText" priority="11862" operator="containsText" id="{786D788A-88BE-481D-BBDB-1101DE34360A}">
            <xm:f>NOT(ISERROR(SEARCH($Q$12,T32)))</xm:f>
            <xm:f>$Q$12</xm:f>
            <x14:dxf>
              <fill>
                <patternFill>
                  <bgColor rgb="FFFFC000"/>
                </patternFill>
              </fill>
            </x14:dxf>
          </x14:cfRule>
          <x14:cfRule type="containsText" priority="11861" operator="containsText" id="{7D1CA5FC-5D49-42EA-84B4-01C05199EA1B}">
            <xm:f>NOT(ISERROR(SEARCH($Q$12,T32)))</xm:f>
            <xm:f>$Q$12</xm:f>
            <x14:dxf>
              <fill>
                <patternFill>
                  <bgColor rgb="FFFFFF00"/>
                </patternFill>
              </fill>
            </x14:dxf>
          </x14:cfRule>
          <x14:cfRule type="containsText" priority="11864" operator="containsText" id="{BA8ABD62-3CC4-4343-95F8-BB7249B694E0}">
            <xm:f>NOT(ISERROR(SEARCH($Q$12,T32)))</xm:f>
            <xm:f>$Q$12</xm:f>
            <x14:dxf>
              <fill>
                <patternFill>
                  <bgColor theme="9" tint="0.59996337778862885"/>
                </patternFill>
              </fill>
            </x14:dxf>
          </x14:cfRule>
          <x14:cfRule type="containsText" priority="11858" operator="containsText" id="{FD57B42A-4498-4BB1-905C-9BE5D829B51C}">
            <xm:f>NOT(ISERROR(SEARCH($Q$12,T32)))</xm:f>
            <xm:f>$Q$12</xm:f>
            <x14:dxf>
              <fill>
                <patternFill>
                  <bgColor theme="9" tint="0.39994506668294322"/>
                </patternFill>
              </fill>
            </x14:dxf>
          </x14:cfRule>
          <x14:cfRule type="containsText" priority="11856" operator="containsText" id="{9848F672-5599-4200-B0B3-DCDB4BB31612}">
            <xm:f>NOT(ISERROR(SEARCH($Q$12,T32)))</xm:f>
            <xm:f>$Q$12</xm:f>
            <x14:dxf>
              <fill>
                <patternFill>
                  <bgColor rgb="FFFFFF00"/>
                </patternFill>
              </fill>
            </x14:dxf>
          </x14:cfRule>
          <x14:cfRule type="containsText" priority="11863" operator="containsText" id="{C8BF035B-FADB-4D12-8CA1-99F7C1C07341}">
            <xm:f>NOT(ISERROR(SEARCH($Q$12,T32)))</xm:f>
            <xm:f>$Q$12</xm:f>
            <x14:dxf>
              <fill>
                <patternFill>
                  <bgColor rgb="FFFF0000"/>
                </patternFill>
              </fill>
            </x14:dxf>
          </x14:cfRule>
          <xm:sqref>T32 T72 T122 T152 T182 T212 T322 T362 T402 T422 T532 T622 T942</xm:sqref>
        </x14:conditionalFormatting>
        <x14:conditionalFormatting xmlns:xm="http://schemas.microsoft.com/office/excel/2006/main">
          <x14:cfRule type="containsText" priority="12116" operator="containsText" id="{A0BF7D82-AD86-44AC-8B46-069C2E55E50E}">
            <xm:f>NOT(ISERROR(SEARCH($Q$12,T42)))</xm:f>
            <xm:f>$Q$12</xm:f>
            <x14:dxf>
              <fill>
                <patternFill>
                  <bgColor theme="9" tint="0.39994506668294322"/>
                </patternFill>
              </fill>
            </x14:dxf>
          </x14:cfRule>
          <x14:cfRule type="containsText" priority="12117" operator="containsText" id="{7AEBB16A-0C7A-4735-BB24-F0F151B293DE}">
            <xm:f>NOT(ISERROR(SEARCH($Q$12,T42)))</xm:f>
            <xm:f>$Q$12</xm:f>
            <x14:dxf>
              <fill>
                <patternFill>
                  <bgColor rgb="FF00B050"/>
                </patternFill>
              </fill>
            </x14:dxf>
          </x14:cfRule>
          <x14:cfRule type="containsText" priority="12118" operator="containsText" id="{612FB1DD-5765-4A2C-B21B-8EEA72980822}">
            <xm:f>NOT(ISERROR(SEARCH($Q$12,T42)))</xm:f>
            <xm:f>$Q$12</xm:f>
            <x14:dxf/>
          </x14:cfRule>
          <x14:cfRule type="containsText" priority="12119" operator="containsText" id="{EB79D147-8242-41D6-BC0A-6AC55FFDC14A}">
            <xm:f>NOT(ISERROR(SEARCH($Q$12,T42)))</xm:f>
            <xm:f>$Q$12</xm:f>
            <x14:dxf>
              <fill>
                <patternFill>
                  <bgColor rgb="FFFFFF00"/>
                </patternFill>
              </fill>
            </x14:dxf>
          </x14:cfRule>
          <x14:cfRule type="containsText" priority="12120" operator="containsText" id="{695D7FB6-8DD6-480C-99D0-299636A5C514}">
            <xm:f>NOT(ISERROR(SEARCH($Q$12,T42)))</xm:f>
            <xm:f>$Q$12</xm:f>
            <x14:dxf>
              <fill>
                <patternFill>
                  <bgColor rgb="FFFFC000"/>
                </patternFill>
              </fill>
            </x14:dxf>
          </x14:cfRule>
          <x14:cfRule type="containsText" priority="12115" operator="containsText" id="{0D428FCA-8FF1-4DD7-8C53-0382778F278B}">
            <xm:f>NOT(ISERROR(SEARCH($Q$12,T42)))</xm:f>
            <xm:f>$Q$12</xm:f>
            <x14:dxf>
              <fill>
                <patternFill>
                  <bgColor theme="9" tint="0.79998168889431442"/>
                </patternFill>
              </fill>
            </x14:dxf>
          </x14:cfRule>
          <x14:cfRule type="containsText" priority="12121" operator="containsText" id="{60333A17-2E0B-462D-AA68-D19FBA20DA73}">
            <xm:f>NOT(ISERROR(SEARCH($Q$12,T42)))</xm:f>
            <xm:f>$Q$12</xm:f>
            <x14:dxf>
              <fill>
                <patternFill>
                  <bgColor rgb="FFFF0000"/>
                </patternFill>
              </fill>
            </x14:dxf>
          </x14:cfRule>
          <x14:cfRule type="containsText" priority="12122" operator="containsText" id="{7667F5F4-48E5-4493-9544-DC6C91C4AE57}">
            <xm:f>NOT(ISERROR(SEARCH($Q$12,T42)))</xm:f>
            <xm:f>$Q$12</xm:f>
            <x14:dxf>
              <fill>
                <patternFill>
                  <bgColor theme="9" tint="0.59996337778862885"/>
                </patternFill>
              </fill>
            </x14:dxf>
          </x14:cfRule>
          <x14:cfRule type="containsText" priority="12123" operator="containsText" id="{4717A05B-1EF5-4002-8238-FB0C3A4D6CFA}">
            <xm:f>NOT(ISERROR(SEARCH($Q$12,T42)))</xm:f>
            <xm:f>$Q$12</xm:f>
            <x14:dxf>
              <fill>
                <patternFill>
                  <bgColor theme="9"/>
                </patternFill>
              </fill>
            </x14:dxf>
          </x14:cfRule>
          <x14:cfRule type="containsText" priority="12124" operator="containsText" id="{02CFE23C-D690-4CF0-8E34-53123365B207}">
            <xm:f>NOT(ISERROR(SEARCH($Q$12,T42)))</xm:f>
            <xm:f>$Q$12</xm:f>
            <x14:dxf>
              <fill>
                <patternFill>
                  <bgColor rgb="FFFFFF00"/>
                </patternFill>
              </fill>
            </x14:dxf>
          </x14:cfRule>
          <x14:cfRule type="containsText" priority="12125" operator="containsText" id="{A23B7A61-6A03-4057-ABC6-401B54F79018}">
            <xm:f>NOT(ISERROR(SEARCH($Q$12,T42)))</xm:f>
            <xm:f>$Q$12</xm:f>
            <x14:dxf>
              <fill>
                <patternFill>
                  <bgColor rgb="FFFFC000"/>
                </patternFill>
              </fill>
            </x14:dxf>
          </x14:cfRule>
          <x14:cfRule type="containsText" priority="12126" operator="containsText" id="{36C0B7B2-BFEB-4A8F-97A7-E158F3A2A7F9}">
            <xm:f>NOT(ISERROR(SEARCH($Q$12,T42)))</xm:f>
            <xm:f>$Q$12</xm:f>
            <x14:dxf>
              <fill>
                <patternFill>
                  <bgColor rgb="FFFF0000"/>
                </patternFill>
              </fill>
            </x14:dxf>
          </x14:cfRule>
          <x14:cfRule type="containsText" priority="12114" operator="containsText" id="{4DCAB489-E83F-4FC3-815E-886BB2D39FFE}">
            <xm:f>NOT(ISERROR(SEARCH($Q$12,T42)))</xm:f>
            <xm:f>$Q$12</xm:f>
            <x14:dxf>
              <fill>
                <patternFill>
                  <bgColor rgb="FFFFFF00"/>
                </patternFill>
              </fill>
            </x14:dxf>
          </x14:cfRule>
          <xm:sqref>T42 T82 T132 T162 T192 T222 T332 T372 T412 T432 T542 T632 T952</xm:sqref>
        </x14:conditionalFormatting>
        <x14:conditionalFormatting xmlns:xm="http://schemas.microsoft.com/office/excel/2006/main">
          <x14:cfRule type="containsText" priority="9769" operator="containsText" id="{806390F7-7EE4-4792-B624-57D4BE142825}">
            <xm:f>NOT(ISERROR(SEARCH($Q$12,T52)))</xm:f>
            <xm:f>$Q$12</xm:f>
            <x14:dxf>
              <fill>
                <patternFill>
                  <bgColor rgb="FFFF0000"/>
                </patternFill>
              </fill>
            </x14:dxf>
          </x14:cfRule>
          <x14:cfRule type="containsText" priority="9768" operator="containsText" id="{9916EB67-5828-40E9-94F9-F3A004BC041E}">
            <xm:f>NOT(ISERROR(SEARCH($Q$12,T52)))</xm:f>
            <xm:f>$Q$12</xm:f>
            <x14:dxf>
              <fill>
                <patternFill>
                  <bgColor rgb="FFFFC000"/>
                </patternFill>
              </fill>
            </x14:dxf>
          </x14:cfRule>
          <x14:cfRule type="containsText" priority="9767" operator="containsText" id="{6A2745AE-0D5C-4F3E-B301-E36F6FF72587}">
            <xm:f>NOT(ISERROR(SEARCH($Q$12,T52)))</xm:f>
            <xm:f>$Q$12</xm:f>
            <x14:dxf>
              <fill>
                <patternFill>
                  <bgColor rgb="FFFFFF00"/>
                </patternFill>
              </fill>
            </x14:dxf>
          </x14:cfRule>
          <x14:cfRule type="containsText" priority="9766" operator="containsText" id="{78F91F58-93E4-448A-BF6C-C4B5EEA96412}">
            <xm:f>NOT(ISERROR(SEARCH($Q$12,T52)))</xm:f>
            <xm:f>$Q$12</xm:f>
            <x14:dxf/>
          </x14:cfRule>
          <x14:cfRule type="containsText" priority="9762" operator="containsText" id="{2E2479A5-E4C5-4D58-A3CC-C694DFF2215A}">
            <xm:f>NOT(ISERROR(SEARCH($Q$12,T52)))</xm:f>
            <xm:f>$Q$12</xm:f>
            <x14:dxf>
              <fill>
                <patternFill>
                  <bgColor rgb="FFFFFF00"/>
                </patternFill>
              </fill>
            </x14:dxf>
          </x14:cfRule>
          <x14:cfRule type="containsText" priority="9765" operator="containsText" id="{37A0752E-9A09-4D5B-AC2F-4BB96A4CED60}">
            <xm:f>NOT(ISERROR(SEARCH($Q$12,T52)))</xm:f>
            <xm:f>$Q$12</xm:f>
            <x14:dxf>
              <fill>
                <patternFill>
                  <bgColor rgb="FF00B050"/>
                </patternFill>
              </fill>
            </x14:dxf>
          </x14:cfRule>
          <x14:cfRule type="containsText" priority="9770" operator="containsText" id="{BFD1550E-FAA0-4371-A0F5-C95350E40ADE}">
            <xm:f>NOT(ISERROR(SEARCH($Q$12,T52)))</xm:f>
            <xm:f>$Q$12</xm:f>
            <x14:dxf>
              <fill>
                <patternFill>
                  <bgColor theme="9" tint="0.59996337778862885"/>
                </patternFill>
              </fill>
            </x14:dxf>
          </x14:cfRule>
          <x14:cfRule type="containsText" priority="9771" operator="containsText" id="{D7262472-01C6-4371-B209-20C19B3C9CA6}">
            <xm:f>NOT(ISERROR(SEARCH($Q$12,T52)))</xm:f>
            <xm:f>$Q$12</xm:f>
            <x14:dxf>
              <fill>
                <patternFill>
                  <bgColor theme="9"/>
                </patternFill>
              </fill>
            </x14:dxf>
          </x14:cfRule>
          <x14:cfRule type="containsText" priority="9772" operator="containsText" id="{2D6372BF-C4F6-4B2D-BA15-3D6BEE149689}">
            <xm:f>NOT(ISERROR(SEARCH($Q$12,T52)))</xm:f>
            <xm:f>$Q$12</xm:f>
            <x14:dxf>
              <fill>
                <patternFill>
                  <bgColor rgb="FFFFFF00"/>
                </patternFill>
              </fill>
            </x14:dxf>
          </x14:cfRule>
          <x14:cfRule type="containsText" priority="9773" operator="containsText" id="{16E50F93-0B0B-4E5D-80D1-5C0BB8C7DEDB}">
            <xm:f>NOT(ISERROR(SEARCH($Q$12,T52)))</xm:f>
            <xm:f>$Q$12</xm:f>
            <x14:dxf>
              <fill>
                <patternFill>
                  <bgColor rgb="FFFFC000"/>
                </patternFill>
              </fill>
            </x14:dxf>
          </x14:cfRule>
          <x14:cfRule type="containsText" priority="9774" operator="containsText" id="{A44E3646-96F3-4FF1-83C4-4812BCEF6706}">
            <xm:f>NOT(ISERROR(SEARCH($Q$12,T52)))</xm:f>
            <xm:f>$Q$12</xm:f>
            <x14:dxf>
              <fill>
                <patternFill>
                  <bgColor rgb="FFFF0000"/>
                </patternFill>
              </fill>
            </x14:dxf>
          </x14:cfRule>
          <x14:cfRule type="containsText" priority="9764" operator="containsText" id="{A6A5DCCF-4A10-4E98-A308-C5FAC3967240}">
            <xm:f>NOT(ISERROR(SEARCH($Q$12,T52)))</xm:f>
            <xm:f>$Q$12</xm:f>
            <x14:dxf>
              <fill>
                <patternFill>
                  <bgColor theme="9" tint="0.39994506668294322"/>
                </patternFill>
              </fill>
            </x14:dxf>
          </x14:cfRule>
          <x14:cfRule type="containsText" priority="9763" operator="containsText" id="{F50C5081-45F3-4AE9-9BF5-A05E534DACD3}">
            <xm:f>NOT(ISERROR(SEARCH($Q$12,T52)))</xm:f>
            <xm:f>$Q$12</xm:f>
            <x14:dxf>
              <fill>
                <patternFill>
                  <bgColor theme="9" tint="0.79998168889431442"/>
                </patternFill>
              </fill>
            </x14:dxf>
          </x14:cfRule>
          <xm:sqref>T52</xm:sqref>
        </x14:conditionalFormatting>
        <x14:conditionalFormatting xmlns:xm="http://schemas.microsoft.com/office/excel/2006/main">
          <x14:cfRule type="containsText" priority="9722" operator="containsText" id="{846625C0-26FF-470F-A72E-CF1A10202718}">
            <xm:f>NOT(ISERROR(SEARCH($Q$12,T62)))</xm:f>
            <xm:f>$Q$12</xm:f>
            <x14:dxf>
              <fill>
                <patternFill>
                  <bgColor theme="9" tint="0.59996337778862885"/>
                </patternFill>
              </fill>
            </x14:dxf>
          </x14:cfRule>
          <x14:cfRule type="containsText" priority="9715" operator="containsText" id="{571BB4B8-5D7C-4C21-B3A8-656036F8851C}">
            <xm:f>NOT(ISERROR(SEARCH($Q$12,T62)))</xm:f>
            <xm:f>$Q$12</xm:f>
            <x14:dxf>
              <fill>
                <patternFill>
                  <bgColor theme="9" tint="0.79998168889431442"/>
                </patternFill>
              </fill>
            </x14:dxf>
          </x14:cfRule>
          <x14:cfRule type="containsText" priority="9714" operator="containsText" id="{FFB30D62-5C69-4457-BBB9-C35A3A6B3E41}">
            <xm:f>NOT(ISERROR(SEARCH($Q$12,T62)))</xm:f>
            <xm:f>$Q$12</xm:f>
            <x14:dxf>
              <fill>
                <patternFill>
                  <bgColor rgb="FFFFFF00"/>
                </patternFill>
              </fill>
            </x14:dxf>
          </x14:cfRule>
          <x14:cfRule type="containsText" priority="9720" operator="containsText" id="{C3A17B31-83F6-49F6-8C1F-19F710C4CD17}">
            <xm:f>NOT(ISERROR(SEARCH($Q$12,T62)))</xm:f>
            <xm:f>$Q$12</xm:f>
            <x14:dxf>
              <fill>
                <patternFill>
                  <bgColor rgb="FFFFC000"/>
                </patternFill>
              </fill>
            </x14:dxf>
          </x14:cfRule>
          <x14:cfRule type="containsText" priority="9721" operator="containsText" id="{C67AEF66-A756-492C-A74D-32B89CD9A4D0}">
            <xm:f>NOT(ISERROR(SEARCH($Q$12,T62)))</xm:f>
            <xm:f>$Q$12</xm:f>
            <x14:dxf>
              <fill>
                <patternFill>
                  <bgColor rgb="FFFF0000"/>
                </patternFill>
              </fill>
            </x14:dxf>
          </x14:cfRule>
          <x14:cfRule type="containsText" priority="9726" operator="containsText" id="{D7BEE3F2-AC40-4A3B-941C-298E1D8032EF}">
            <xm:f>NOT(ISERROR(SEARCH($Q$12,T62)))</xm:f>
            <xm:f>$Q$12</xm:f>
            <x14:dxf>
              <fill>
                <patternFill>
                  <bgColor rgb="FFFF0000"/>
                </patternFill>
              </fill>
            </x14:dxf>
          </x14:cfRule>
          <x14:cfRule type="containsText" priority="9723" operator="containsText" id="{AE2BB593-067C-4FD5-A331-C829A3B616DD}">
            <xm:f>NOT(ISERROR(SEARCH($Q$12,T62)))</xm:f>
            <xm:f>$Q$12</xm:f>
            <x14:dxf>
              <fill>
                <patternFill>
                  <bgColor theme="9"/>
                </patternFill>
              </fill>
            </x14:dxf>
          </x14:cfRule>
          <x14:cfRule type="containsText" priority="9724" operator="containsText" id="{705B0ADD-4C28-4D0C-AC61-05E8CB07E10F}">
            <xm:f>NOT(ISERROR(SEARCH($Q$12,T62)))</xm:f>
            <xm:f>$Q$12</xm:f>
            <x14:dxf>
              <fill>
                <patternFill>
                  <bgColor rgb="FFFFFF00"/>
                </patternFill>
              </fill>
            </x14:dxf>
          </x14:cfRule>
          <x14:cfRule type="containsText" priority="9725" operator="containsText" id="{B23B8F08-8D99-4255-93D6-5A7A810B3865}">
            <xm:f>NOT(ISERROR(SEARCH($Q$12,T62)))</xm:f>
            <xm:f>$Q$12</xm:f>
            <x14:dxf>
              <fill>
                <patternFill>
                  <bgColor rgb="FFFFC000"/>
                </patternFill>
              </fill>
            </x14:dxf>
          </x14:cfRule>
          <x14:cfRule type="containsText" priority="9719" operator="containsText" id="{7859684C-5948-417C-841D-1AFDFB5E8150}">
            <xm:f>NOT(ISERROR(SEARCH($Q$12,T62)))</xm:f>
            <xm:f>$Q$12</xm:f>
            <x14:dxf>
              <fill>
                <patternFill>
                  <bgColor rgb="FFFFFF00"/>
                </patternFill>
              </fill>
            </x14:dxf>
          </x14:cfRule>
          <x14:cfRule type="containsText" priority="9718" operator="containsText" id="{B2C71F7C-B578-4152-BC7F-CCBFF6D016C7}">
            <xm:f>NOT(ISERROR(SEARCH($Q$12,T62)))</xm:f>
            <xm:f>$Q$12</xm:f>
            <x14:dxf/>
          </x14:cfRule>
          <x14:cfRule type="containsText" priority="9717" operator="containsText" id="{95357ED1-0FF5-4772-90C6-62D8932E8212}">
            <xm:f>NOT(ISERROR(SEARCH($Q$12,T62)))</xm:f>
            <xm:f>$Q$12</xm:f>
            <x14:dxf>
              <fill>
                <patternFill>
                  <bgColor rgb="FF00B050"/>
                </patternFill>
              </fill>
            </x14:dxf>
          </x14:cfRule>
          <x14:cfRule type="containsText" priority="9716" operator="containsText" id="{1D057510-D69D-4E53-B558-4059B466B5B7}">
            <xm:f>NOT(ISERROR(SEARCH($Q$12,T62)))</xm:f>
            <xm:f>$Q$12</xm:f>
            <x14:dxf>
              <fill>
                <patternFill>
                  <bgColor theme="9" tint="0.39994506668294322"/>
                </patternFill>
              </fill>
            </x14:dxf>
          </x14:cfRule>
          <xm:sqref>T62</xm:sqref>
        </x14:conditionalFormatting>
        <x14:conditionalFormatting xmlns:xm="http://schemas.microsoft.com/office/excel/2006/main">
          <x14:cfRule type="containsText" priority="9359" operator="containsText" id="{DC48065A-BF05-4275-9EAE-39EE35C960C9}">
            <xm:f>NOT(ISERROR(SEARCH($Q$12,T92)))</xm:f>
            <xm:f>$Q$12</xm:f>
            <x14:dxf>
              <fill>
                <patternFill>
                  <bgColor rgb="FFFFC000"/>
                </patternFill>
              </fill>
            </x14:dxf>
          </x14:cfRule>
          <x14:cfRule type="containsText" priority="9353" operator="containsText" id="{18B94414-FC27-432C-B676-B859F2C348EA}">
            <xm:f>NOT(ISERROR(SEARCH($Q$12,T92)))</xm:f>
            <xm:f>$Q$12</xm:f>
            <x14:dxf>
              <fill>
                <patternFill>
                  <bgColor rgb="FFFFFF00"/>
                </patternFill>
              </fill>
            </x14:dxf>
          </x14:cfRule>
          <x14:cfRule type="containsText" priority="9358" operator="containsText" id="{5A9AFA6E-5DD1-4D4B-AC0B-2BE9FAB45C79}">
            <xm:f>NOT(ISERROR(SEARCH($Q$12,T92)))</xm:f>
            <xm:f>$Q$12</xm:f>
            <x14:dxf>
              <fill>
                <patternFill>
                  <bgColor rgb="FFFFFF00"/>
                </patternFill>
              </fill>
            </x14:dxf>
          </x14:cfRule>
          <x14:cfRule type="containsText" priority="9355" operator="containsText" id="{1E5637AF-E770-4F5D-ABAE-858A958EBA9C}">
            <xm:f>NOT(ISERROR(SEARCH($Q$12,T92)))</xm:f>
            <xm:f>$Q$12</xm:f>
            <x14:dxf>
              <fill>
                <patternFill>
                  <bgColor rgb="FFFF0000"/>
                </patternFill>
              </fill>
            </x14:dxf>
          </x14:cfRule>
          <x14:cfRule type="containsText" priority="9350" operator="containsText" id="{7DDA0E32-F99D-4F08-9AF1-BE4150F99F5B}">
            <xm:f>NOT(ISERROR(SEARCH($Q$12,T92)))</xm:f>
            <xm:f>$Q$12</xm:f>
            <x14:dxf>
              <fill>
                <patternFill>
                  <bgColor theme="9" tint="0.39994506668294322"/>
                </patternFill>
              </fill>
            </x14:dxf>
          </x14:cfRule>
          <x14:cfRule type="containsText" priority="9351" operator="containsText" id="{1411E4E4-7D33-429A-9895-A949700A04EC}">
            <xm:f>NOT(ISERROR(SEARCH($Q$12,T92)))</xm:f>
            <xm:f>$Q$12</xm:f>
            <x14:dxf>
              <fill>
                <patternFill>
                  <bgColor rgb="FF00B050"/>
                </patternFill>
              </fill>
            </x14:dxf>
          </x14:cfRule>
          <x14:cfRule type="containsText" priority="9352" operator="containsText" id="{E2966CDA-48D2-4A0A-8216-C1E0BDC80D0A}">
            <xm:f>NOT(ISERROR(SEARCH($Q$12,T92)))</xm:f>
            <xm:f>$Q$12</xm:f>
            <x14:dxf/>
          </x14:cfRule>
          <x14:cfRule type="containsText" priority="9349" operator="containsText" id="{74DCE1B6-1351-4F56-A973-C823380D1E1F}">
            <xm:f>NOT(ISERROR(SEARCH($Q$12,T92)))</xm:f>
            <xm:f>$Q$12</xm:f>
            <x14:dxf>
              <fill>
                <patternFill>
                  <bgColor theme="9" tint="0.79998168889431442"/>
                </patternFill>
              </fill>
            </x14:dxf>
          </x14:cfRule>
          <x14:cfRule type="containsText" priority="9348" operator="containsText" id="{96ACAA31-B77A-44A5-898A-C3568A8B4AC8}">
            <xm:f>NOT(ISERROR(SEARCH($Q$12,T92)))</xm:f>
            <xm:f>$Q$12</xm:f>
            <x14:dxf>
              <fill>
                <patternFill>
                  <bgColor rgb="FFFFFF00"/>
                </patternFill>
              </fill>
            </x14:dxf>
          </x14:cfRule>
          <x14:cfRule type="containsText" priority="9360" operator="containsText" id="{417725C8-DCBA-4D4E-80E4-DACB8F8D418E}">
            <xm:f>NOT(ISERROR(SEARCH($Q$12,T92)))</xm:f>
            <xm:f>$Q$12</xm:f>
            <x14:dxf>
              <fill>
                <patternFill>
                  <bgColor rgb="FFFF0000"/>
                </patternFill>
              </fill>
            </x14:dxf>
          </x14:cfRule>
          <x14:cfRule type="containsText" priority="9354" operator="containsText" id="{5A8C726F-2D6E-475C-8F19-E8867F956F7B}">
            <xm:f>NOT(ISERROR(SEARCH($Q$12,T92)))</xm:f>
            <xm:f>$Q$12</xm:f>
            <x14:dxf>
              <fill>
                <patternFill>
                  <bgColor rgb="FFFFC000"/>
                </patternFill>
              </fill>
            </x14:dxf>
          </x14:cfRule>
          <x14:cfRule type="containsText" priority="9357" operator="containsText" id="{260C1172-FD7A-42EE-B47E-E47268E12778}">
            <xm:f>NOT(ISERROR(SEARCH($Q$12,T92)))</xm:f>
            <xm:f>$Q$12</xm:f>
            <x14:dxf>
              <fill>
                <patternFill>
                  <bgColor theme="9"/>
                </patternFill>
              </fill>
            </x14:dxf>
          </x14:cfRule>
          <x14:cfRule type="containsText" priority="9356" operator="containsText" id="{9525AD4A-4668-4731-93DA-2111A06E795E}">
            <xm:f>NOT(ISERROR(SEARCH($Q$12,T92)))</xm:f>
            <xm:f>$Q$12</xm:f>
            <x14:dxf>
              <fill>
                <patternFill>
                  <bgColor theme="9" tint="0.59996337778862885"/>
                </patternFill>
              </fill>
            </x14:dxf>
          </x14:cfRule>
          <xm:sqref>T92</xm:sqref>
        </x14:conditionalFormatting>
        <x14:conditionalFormatting xmlns:xm="http://schemas.microsoft.com/office/excel/2006/main">
          <x14:cfRule type="containsText" priority="9300" operator="containsText" id="{1146B9C4-47C8-4269-AC8C-99FAAD17A8A9}">
            <xm:f>NOT(ISERROR(SEARCH($Q$12,T102)))</xm:f>
            <xm:f>$Q$12</xm:f>
            <x14:dxf>
              <fill>
                <patternFill>
                  <bgColor rgb="FFFFFF00"/>
                </patternFill>
              </fill>
            </x14:dxf>
          </x14:cfRule>
          <x14:cfRule type="containsText" priority="9301" operator="containsText" id="{ACFBBFE6-10AD-4566-A89F-AD902231ECD7}">
            <xm:f>NOT(ISERROR(SEARCH($Q$12,T102)))</xm:f>
            <xm:f>$Q$12</xm:f>
            <x14:dxf>
              <fill>
                <patternFill>
                  <bgColor theme="9" tint="0.79998168889431442"/>
                </patternFill>
              </fill>
            </x14:dxf>
          </x14:cfRule>
          <x14:cfRule type="containsText" priority="9302" operator="containsText" id="{3D15289F-4CF1-4640-BB30-C4560FEDF0A3}">
            <xm:f>NOT(ISERROR(SEARCH($Q$12,T102)))</xm:f>
            <xm:f>$Q$12</xm:f>
            <x14:dxf>
              <fill>
                <patternFill>
                  <bgColor theme="9" tint="0.39994506668294322"/>
                </patternFill>
              </fill>
            </x14:dxf>
          </x14:cfRule>
          <x14:cfRule type="containsText" priority="9303" operator="containsText" id="{9D91E1F0-45D6-4BE0-A0B1-C22B60855769}">
            <xm:f>NOT(ISERROR(SEARCH($Q$12,T102)))</xm:f>
            <xm:f>$Q$12</xm:f>
            <x14:dxf>
              <fill>
                <patternFill>
                  <bgColor rgb="FF00B050"/>
                </patternFill>
              </fill>
            </x14:dxf>
          </x14:cfRule>
          <x14:cfRule type="containsText" priority="9304" operator="containsText" id="{FA580E7D-FF53-456A-925F-86E99DFD91FC}">
            <xm:f>NOT(ISERROR(SEARCH($Q$12,T102)))</xm:f>
            <xm:f>$Q$12</xm:f>
            <x14:dxf/>
          </x14:cfRule>
          <x14:cfRule type="containsText" priority="9305" operator="containsText" id="{27CCEEFF-0A81-4039-975F-65F1B1407BAA}">
            <xm:f>NOT(ISERROR(SEARCH($Q$12,T102)))</xm:f>
            <xm:f>$Q$12</xm:f>
            <x14:dxf>
              <fill>
                <patternFill>
                  <bgColor rgb="FFFFFF00"/>
                </patternFill>
              </fill>
            </x14:dxf>
          </x14:cfRule>
          <x14:cfRule type="containsText" priority="9306" operator="containsText" id="{EF6A9B17-3A0F-49AD-9E42-F9508823BD46}">
            <xm:f>NOT(ISERROR(SEARCH($Q$12,T102)))</xm:f>
            <xm:f>$Q$12</xm:f>
            <x14:dxf>
              <fill>
                <patternFill>
                  <bgColor rgb="FFFFC000"/>
                </patternFill>
              </fill>
            </x14:dxf>
          </x14:cfRule>
          <x14:cfRule type="containsText" priority="9308" operator="containsText" id="{216D0A49-053F-4F11-AB35-852D6BA7899E}">
            <xm:f>NOT(ISERROR(SEARCH($Q$12,T102)))</xm:f>
            <xm:f>$Q$12</xm:f>
            <x14:dxf>
              <fill>
                <patternFill>
                  <bgColor theme="9" tint="0.59996337778862885"/>
                </patternFill>
              </fill>
            </x14:dxf>
          </x14:cfRule>
          <x14:cfRule type="containsText" priority="9309" operator="containsText" id="{0B6856DA-9BC6-4FB1-9CA1-5E9DDFB92529}">
            <xm:f>NOT(ISERROR(SEARCH($Q$12,T102)))</xm:f>
            <xm:f>$Q$12</xm:f>
            <x14:dxf>
              <fill>
                <patternFill>
                  <bgColor theme="9"/>
                </patternFill>
              </fill>
            </x14:dxf>
          </x14:cfRule>
          <x14:cfRule type="containsText" priority="9310" operator="containsText" id="{5925326F-84A0-44A7-A45A-E0A38CFAC170}">
            <xm:f>NOT(ISERROR(SEARCH($Q$12,T102)))</xm:f>
            <xm:f>$Q$12</xm:f>
            <x14:dxf>
              <fill>
                <patternFill>
                  <bgColor rgb="FFFFFF00"/>
                </patternFill>
              </fill>
            </x14:dxf>
          </x14:cfRule>
          <x14:cfRule type="containsText" priority="9311" operator="containsText" id="{4C953E2D-E2D3-4308-BF88-3103A885A2D2}">
            <xm:f>NOT(ISERROR(SEARCH($Q$12,T102)))</xm:f>
            <xm:f>$Q$12</xm:f>
            <x14:dxf>
              <fill>
                <patternFill>
                  <bgColor rgb="FFFFC000"/>
                </patternFill>
              </fill>
            </x14:dxf>
          </x14:cfRule>
          <x14:cfRule type="containsText" priority="9312" operator="containsText" id="{1ED5081C-7469-4240-B4E4-9BE859CA80D5}">
            <xm:f>NOT(ISERROR(SEARCH($Q$12,T102)))</xm:f>
            <xm:f>$Q$12</xm:f>
            <x14:dxf>
              <fill>
                <patternFill>
                  <bgColor rgb="FFFF0000"/>
                </patternFill>
              </fill>
            </x14:dxf>
          </x14:cfRule>
          <x14:cfRule type="containsText" priority="9307" operator="containsText" id="{9596A590-CDFF-428D-B92F-552B41A890CF}">
            <xm:f>NOT(ISERROR(SEARCH($Q$12,T102)))</xm:f>
            <xm:f>$Q$12</xm:f>
            <x14:dxf>
              <fill>
                <patternFill>
                  <bgColor rgb="FFFF0000"/>
                </patternFill>
              </fill>
            </x14:dxf>
          </x14:cfRule>
          <xm:sqref>T102</xm:sqref>
        </x14:conditionalFormatting>
        <x14:conditionalFormatting xmlns:xm="http://schemas.microsoft.com/office/excel/2006/main">
          <x14:cfRule type="containsText" priority="9253" operator="containsText" id="{B8CB4EFA-687D-4361-8E83-DBE5BECBD341}">
            <xm:f>NOT(ISERROR(SEARCH($Q$12,T112)))</xm:f>
            <xm:f>$Q$12</xm:f>
            <x14:dxf>
              <fill>
                <patternFill>
                  <bgColor theme="9" tint="0.79998168889431442"/>
                </patternFill>
              </fill>
            </x14:dxf>
          </x14:cfRule>
          <x14:cfRule type="containsText" priority="9262" operator="containsText" id="{B1EA8B6C-BE15-494E-9EF6-D8D822937CF4}">
            <xm:f>NOT(ISERROR(SEARCH($Q$12,T112)))</xm:f>
            <xm:f>$Q$12</xm:f>
            <x14:dxf>
              <fill>
                <patternFill>
                  <bgColor rgb="FFFFFF00"/>
                </patternFill>
              </fill>
            </x14:dxf>
          </x14:cfRule>
          <x14:cfRule type="containsText" priority="9261" operator="containsText" id="{C4EFE147-699F-459D-A607-C6EE7D49BAD3}">
            <xm:f>NOT(ISERROR(SEARCH($Q$12,T112)))</xm:f>
            <xm:f>$Q$12</xm:f>
            <x14:dxf>
              <fill>
                <patternFill>
                  <bgColor theme="9"/>
                </patternFill>
              </fill>
            </x14:dxf>
          </x14:cfRule>
          <x14:cfRule type="containsText" priority="9260" operator="containsText" id="{8102E562-C12E-4DB6-A9AC-8BF8974387AD}">
            <xm:f>NOT(ISERROR(SEARCH($Q$12,T112)))</xm:f>
            <xm:f>$Q$12</xm:f>
            <x14:dxf>
              <fill>
                <patternFill>
                  <bgColor theme="9" tint="0.59996337778862885"/>
                </patternFill>
              </fill>
            </x14:dxf>
          </x14:cfRule>
          <x14:cfRule type="containsText" priority="9259" operator="containsText" id="{CFDF6951-D38F-40E6-A396-C9D0D65E7CFE}">
            <xm:f>NOT(ISERROR(SEARCH($Q$12,T112)))</xm:f>
            <xm:f>$Q$12</xm:f>
            <x14:dxf>
              <fill>
                <patternFill>
                  <bgColor rgb="FFFF0000"/>
                </patternFill>
              </fill>
            </x14:dxf>
          </x14:cfRule>
          <x14:cfRule type="containsText" priority="9258" operator="containsText" id="{9C35F641-B458-4B97-9157-B5A64B823333}">
            <xm:f>NOT(ISERROR(SEARCH($Q$12,T112)))</xm:f>
            <xm:f>$Q$12</xm:f>
            <x14:dxf>
              <fill>
                <patternFill>
                  <bgColor rgb="FFFFC000"/>
                </patternFill>
              </fill>
            </x14:dxf>
          </x14:cfRule>
          <x14:cfRule type="containsText" priority="9257" operator="containsText" id="{79A97DA6-DA6F-4C1E-A96B-E7301A36A867}">
            <xm:f>NOT(ISERROR(SEARCH($Q$12,T112)))</xm:f>
            <xm:f>$Q$12</xm:f>
            <x14:dxf>
              <fill>
                <patternFill>
                  <bgColor rgb="FFFFFF00"/>
                </patternFill>
              </fill>
            </x14:dxf>
          </x14:cfRule>
          <x14:cfRule type="containsText" priority="9256" operator="containsText" id="{0B1D2F44-47C9-49CC-AF01-B15A6E147DB7}">
            <xm:f>NOT(ISERROR(SEARCH($Q$12,T112)))</xm:f>
            <xm:f>$Q$12</xm:f>
            <x14:dxf/>
          </x14:cfRule>
          <x14:cfRule type="containsText" priority="9255" operator="containsText" id="{9112542A-3E72-4FF1-B32D-B5FE2932669A}">
            <xm:f>NOT(ISERROR(SEARCH($Q$12,T112)))</xm:f>
            <xm:f>$Q$12</xm:f>
            <x14:dxf>
              <fill>
                <patternFill>
                  <bgColor rgb="FF00B050"/>
                </patternFill>
              </fill>
            </x14:dxf>
          </x14:cfRule>
          <x14:cfRule type="containsText" priority="9252" operator="containsText" id="{31739FDB-1794-4059-A1FF-E98E5E60C115}">
            <xm:f>NOT(ISERROR(SEARCH($Q$12,T112)))</xm:f>
            <xm:f>$Q$12</xm:f>
            <x14:dxf>
              <fill>
                <patternFill>
                  <bgColor rgb="FFFFFF00"/>
                </patternFill>
              </fill>
            </x14:dxf>
          </x14:cfRule>
          <x14:cfRule type="containsText" priority="9254" operator="containsText" id="{FE6D047F-1C16-494C-9C4C-A04475D83D3D}">
            <xm:f>NOT(ISERROR(SEARCH($Q$12,T112)))</xm:f>
            <xm:f>$Q$12</xm:f>
            <x14:dxf>
              <fill>
                <patternFill>
                  <bgColor theme="9" tint="0.39994506668294322"/>
                </patternFill>
              </fill>
            </x14:dxf>
          </x14:cfRule>
          <x14:cfRule type="containsText" priority="9264" operator="containsText" id="{CBE60EBE-94B3-4F7F-B20E-6E701F7244CB}">
            <xm:f>NOT(ISERROR(SEARCH($Q$12,T112)))</xm:f>
            <xm:f>$Q$12</xm:f>
            <x14:dxf>
              <fill>
                <patternFill>
                  <bgColor rgb="FFFF0000"/>
                </patternFill>
              </fill>
            </x14:dxf>
          </x14:cfRule>
          <x14:cfRule type="containsText" priority="9263" operator="containsText" id="{8D66D5AA-8111-4290-BD38-E4C4DCF94FD6}">
            <xm:f>NOT(ISERROR(SEARCH($Q$12,T112)))</xm:f>
            <xm:f>$Q$12</xm:f>
            <x14:dxf>
              <fill>
                <patternFill>
                  <bgColor rgb="FFFFC000"/>
                </patternFill>
              </fill>
            </x14:dxf>
          </x14:cfRule>
          <xm:sqref>T112</xm:sqref>
        </x14:conditionalFormatting>
        <x14:conditionalFormatting xmlns:xm="http://schemas.microsoft.com/office/excel/2006/main">
          <x14:cfRule type="containsText" priority="8890" operator="containsText" id="{0C346F27-3C3E-4135-B1C7-E8DAA5843A52}">
            <xm:f>NOT(ISERROR(SEARCH($Q$12,T142)))</xm:f>
            <xm:f>$Q$12</xm:f>
            <x14:dxf>
              <fill>
                <patternFill>
                  <bgColor theme="9" tint="0.39994506668294322"/>
                </patternFill>
              </fill>
            </x14:dxf>
          </x14:cfRule>
          <x14:cfRule type="containsText" priority="8889" operator="containsText" id="{9B93DA3E-63E1-485E-AC92-E6E5C59E7AF7}">
            <xm:f>NOT(ISERROR(SEARCH($Q$12,T142)))</xm:f>
            <xm:f>$Q$12</xm:f>
            <x14:dxf>
              <fill>
                <patternFill>
                  <bgColor theme="9" tint="0.79998168889431442"/>
                </patternFill>
              </fill>
            </x14:dxf>
          </x14:cfRule>
          <x14:cfRule type="containsText" priority="8888" operator="containsText" id="{FAB4055A-127A-4393-A7C7-F8E167F96C54}">
            <xm:f>NOT(ISERROR(SEARCH($Q$12,T142)))</xm:f>
            <xm:f>$Q$12</xm:f>
            <x14:dxf>
              <fill>
                <patternFill>
                  <bgColor rgb="FFFFFF00"/>
                </patternFill>
              </fill>
            </x14:dxf>
          </x14:cfRule>
          <x14:cfRule type="containsText" priority="8896" operator="containsText" id="{D5892349-961A-4EF6-80E2-EDF8D2E9CF06}">
            <xm:f>NOT(ISERROR(SEARCH($Q$12,T142)))</xm:f>
            <xm:f>$Q$12</xm:f>
            <x14:dxf>
              <fill>
                <patternFill>
                  <bgColor theme="9" tint="0.59996337778862885"/>
                </patternFill>
              </fill>
            </x14:dxf>
          </x14:cfRule>
          <x14:cfRule type="containsText" priority="8900" operator="containsText" id="{0A6048DB-36F9-4377-B928-F750D9EAF3CA}">
            <xm:f>NOT(ISERROR(SEARCH($Q$12,T142)))</xm:f>
            <xm:f>$Q$12</xm:f>
            <x14:dxf>
              <fill>
                <patternFill>
                  <bgColor rgb="FFFF0000"/>
                </patternFill>
              </fill>
            </x14:dxf>
          </x14:cfRule>
          <x14:cfRule type="containsText" priority="8899" operator="containsText" id="{6BC8CB20-AEDA-4493-9AE9-0F008F4BAE98}">
            <xm:f>NOT(ISERROR(SEARCH($Q$12,T142)))</xm:f>
            <xm:f>$Q$12</xm:f>
            <x14:dxf>
              <fill>
                <patternFill>
                  <bgColor rgb="FFFFC000"/>
                </patternFill>
              </fill>
            </x14:dxf>
          </x14:cfRule>
          <x14:cfRule type="containsText" priority="8898" operator="containsText" id="{2DBD89D5-A768-4BE3-8FE7-333DADD1F28C}">
            <xm:f>NOT(ISERROR(SEARCH($Q$12,T142)))</xm:f>
            <xm:f>$Q$12</xm:f>
            <x14:dxf>
              <fill>
                <patternFill>
                  <bgColor rgb="FFFFFF00"/>
                </patternFill>
              </fill>
            </x14:dxf>
          </x14:cfRule>
          <x14:cfRule type="containsText" priority="8892" operator="containsText" id="{EA3568B8-9DF5-4418-8E5A-E9B167D77AB3}">
            <xm:f>NOT(ISERROR(SEARCH($Q$12,T142)))</xm:f>
            <xm:f>$Q$12</xm:f>
            <x14:dxf/>
          </x14:cfRule>
          <x14:cfRule type="containsText" priority="8893" operator="containsText" id="{7BD37B46-F7A5-42EC-AB25-37654053A56B}">
            <xm:f>NOT(ISERROR(SEARCH($Q$12,T142)))</xm:f>
            <xm:f>$Q$12</xm:f>
            <x14:dxf>
              <fill>
                <patternFill>
                  <bgColor rgb="FFFFFF00"/>
                </patternFill>
              </fill>
            </x14:dxf>
          </x14:cfRule>
          <x14:cfRule type="containsText" priority="8897" operator="containsText" id="{8304B4F3-B145-4D8F-864B-2603683AACB0}">
            <xm:f>NOT(ISERROR(SEARCH($Q$12,T142)))</xm:f>
            <xm:f>$Q$12</xm:f>
            <x14:dxf>
              <fill>
                <patternFill>
                  <bgColor theme="9"/>
                </patternFill>
              </fill>
            </x14:dxf>
          </x14:cfRule>
          <x14:cfRule type="containsText" priority="8891" operator="containsText" id="{AAAD021E-6D9F-4D1B-8A75-7C17E928A957}">
            <xm:f>NOT(ISERROR(SEARCH($Q$12,T142)))</xm:f>
            <xm:f>$Q$12</xm:f>
            <x14:dxf>
              <fill>
                <patternFill>
                  <bgColor rgb="FF00B050"/>
                </patternFill>
              </fill>
            </x14:dxf>
          </x14:cfRule>
          <x14:cfRule type="containsText" priority="8895" operator="containsText" id="{76BF1DDF-4F1A-483E-8FDA-A64B813AEA79}">
            <xm:f>NOT(ISERROR(SEARCH($Q$12,T142)))</xm:f>
            <xm:f>$Q$12</xm:f>
            <x14:dxf>
              <fill>
                <patternFill>
                  <bgColor rgb="FFFF0000"/>
                </patternFill>
              </fill>
            </x14:dxf>
          </x14:cfRule>
          <x14:cfRule type="containsText" priority="8894" operator="containsText" id="{318B5175-6023-4212-B06B-5B4A4977C1B3}">
            <xm:f>NOT(ISERROR(SEARCH($Q$12,T142)))</xm:f>
            <xm:f>$Q$12</xm:f>
            <x14:dxf>
              <fill>
                <patternFill>
                  <bgColor rgb="FFFFC000"/>
                </patternFill>
              </fill>
            </x14:dxf>
          </x14:cfRule>
          <xm:sqref>T142</xm:sqref>
        </x14:conditionalFormatting>
        <x14:conditionalFormatting xmlns:xm="http://schemas.microsoft.com/office/excel/2006/main">
          <x14:cfRule type="containsText" priority="8592" operator="containsText" id="{D6B8EF2A-B0A0-4938-BE52-9FA3218F614F}">
            <xm:f>NOT(ISERROR(SEARCH($Q$12,T172)))</xm:f>
            <xm:f>$Q$12</xm:f>
            <x14:dxf>
              <fill>
                <patternFill>
                  <bgColor rgb="FFFF0000"/>
                </patternFill>
              </fill>
            </x14:dxf>
          </x14:cfRule>
          <x14:cfRule type="containsText" priority="8586" operator="containsText" id="{A59009C1-17E5-4B4B-A8E9-DCF95848A7E6}">
            <xm:f>NOT(ISERROR(SEARCH($Q$12,T172)))</xm:f>
            <xm:f>$Q$12</xm:f>
            <x14:dxf>
              <fill>
                <patternFill>
                  <bgColor rgb="FFFFC000"/>
                </patternFill>
              </fill>
            </x14:dxf>
          </x14:cfRule>
          <x14:cfRule type="containsText" priority="8580" operator="containsText" id="{C27A5236-F252-49C9-935B-A836C3A7D7FC}">
            <xm:f>NOT(ISERROR(SEARCH($Q$12,T172)))</xm:f>
            <xm:f>$Q$12</xm:f>
            <x14:dxf>
              <fill>
                <patternFill>
                  <bgColor rgb="FFFFFF00"/>
                </patternFill>
              </fill>
            </x14:dxf>
          </x14:cfRule>
          <x14:cfRule type="containsText" priority="8581" operator="containsText" id="{C18B8088-EFB6-4CED-9068-6181E313B8EA}">
            <xm:f>NOT(ISERROR(SEARCH($Q$12,T172)))</xm:f>
            <xm:f>$Q$12</xm:f>
            <x14:dxf>
              <fill>
                <patternFill>
                  <bgColor theme="9" tint="0.79998168889431442"/>
                </patternFill>
              </fill>
            </x14:dxf>
          </x14:cfRule>
          <x14:cfRule type="containsText" priority="8582" operator="containsText" id="{D2FDD2CE-E59C-477A-B25B-BF60D72D1C26}">
            <xm:f>NOT(ISERROR(SEARCH($Q$12,T172)))</xm:f>
            <xm:f>$Q$12</xm:f>
            <x14:dxf>
              <fill>
                <patternFill>
                  <bgColor theme="9" tint="0.39994506668294322"/>
                </patternFill>
              </fill>
            </x14:dxf>
          </x14:cfRule>
          <x14:cfRule type="containsText" priority="8583" operator="containsText" id="{FA629989-2693-497F-AF7A-FB5088A30E26}">
            <xm:f>NOT(ISERROR(SEARCH($Q$12,T172)))</xm:f>
            <xm:f>$Q$12</xm:f>
            <x14:dxf>
              <fill>
                <patternFill>
                  <bgColor rgb="FF00B050"/>
                </patternFill>
              </fill>
            </x14:dxf>
          </x14:cfRule>
          <x14:cfRule type="containsText" priority="8584" operator="containsText" id="{803ED161-8C6C-44AB-8535-869F995DE0DC}">
            <xm:f>NOT(ISERROR(SEARCH($Q$12,T172)))</xm:f>
            <xm:f>$Q$12</xm:f>
            <x14:dxf/>
          </x14:cfRule>
          <x14:cfRule type="containsText" priority="8585" operator="containsText" id="{CB22CC17-1DC3-47D5-8BBD-843D5581926C}">
            <xm:f>NOT(ISERROR(SEARCH($Q$12,T172)))</xm:f>
            <xm:f>$Q$12</xm:f>
            <x14:dxf>
              <fill>
                <patternFill>
                  <bgColor rgb="FFFFFF00"/>
                </patternFill>
              </fill>
            </x14:dxf>
          </x14:cfRule>
          <x14:cfRule type="containsText" priority="8587" operator="containsText" id="{419D46A5-499E-4936-9CF2-B01387ED2B81}">
            <xm:f>NOT(ISERROR(SEARCH($Q$12,T172)))</xm:f>
            <xm:f>$Q$12</xm:f>
            <x14:dxf>
              <fill>
                <patternFill>
                  <bgColor rgb="FFFF0000"/>
                </patternFill>
              </fill>
            </x14:dxf>
          </x14:cfRule>
          <x14:cfRule type="containsText" priority="8588" operator="containsText" id="{19F713F3-380B-43AA-9FFE-DB599545F4DF}">
            <xm:f>NOT(ISERROR(SEARCH($Q$12,T172)))</xm:f>
            <xm:f>$Q$12</xm:f>
            <x14:dxf>
              <fill>
                <patternFill>
                  <bgColor theme="9" tint="0.59996337778862885"/>
                </patternFill>
              </fill>
            </x14:dxf>
          </x14:cfRule>
          <x14:cfRule type="containsText" priority="8589" operator="containsText" id="{670C97D2-6EB0-4310-A64A-88038F7C4E5F}">
            <xm:f>NOT(ISERROR(SEARCH($Q$12,T172)))</xm:f>
            <xm:f>$Q$12</xm:f>
            <x14:dxf>
              <fill>
                <patternFill>
                  <bgColor theme="9"/>
                </patternFill>
              </fill>
            </x14:dxf>
          </x14:cfRule>
          <x14:cfRule type="containsText" priority="8590" operator="containsText" id="{0FDE422F-3E54-4B71-B8DA-093FB3254289}">
            <xm:f>NOT(ISERROR(SEARCH($Q$12,T172)))</xm:f>
            <xm:f>$Q$12</xm:f>
            <x14:dxf>
              <fill>
                <patternFill>
                  <bgColor rgb="FFFFFF00"/>
                </patternFill>
              </fill>
            </x14:dxf>
          </x14:cfRule>
          <x14:cfRule type="containsText" priority="8591" operator="containsText" id="{2D3601AA-AEA6-426E-B4B6-006BEA218F1B}">
            <xm:f>NOT(ISERROR(SEARCH($Q$12,T172)))</xm:f>
            <xm:f>$Q$12</xm:f>
            <x14:dxf>
              <fill>
                <patternFill>
                  <bgColor rgb="FFFFC000"/>
                </patternFill>
              </fill>
            </x14:dxf>
          </x14:cfRule>
          <xm:sqref>T172</xm:sqref>
        </x14:conditionalFormatting>
        <x14:conditionalFormatting xmlns:xm="http://schemas.microsoft.com/office/excel/2006/main">
          <x14:cfRule type="containsText" priority="8282" operator="containsText" id="{04593E2D-3D3D-45F1-8A3C-18EA5FABC270}">
            <xm:f>NOT(ISERROR(SEARCH($Q$12,T202)))</xm:f>
            <xm:f>$Q$12</xm:f>
            <x14:dxf>
              <fill>
                <patternFill>
                  <bgColor rgb="FFFFFF00"/>
                </patternFill>
              </fill>
            </x14:dxf>
          </x14:cfRule>
          <x14:cfRule type="containsText" priority="8284" operator="containsText" id="{52A8C124-586F-4CD9-971E-56CA4F02F39D}">
            <xm:f>NOT(ISERROR(SEARCH($Q$12,T202)))</xm:f>
            <xm:f>$Q$12</xm:f>
            <x14:dxf>
              <fill>
                <patternFill>
                  <bgColor rgb="FFFF0000"/>
                </patternFill>
              </fill>
            </x14:dxf>
          </x14:cfRule>
          <x14:cfRule type="containsText" priority="8277" operator="containsText" id="{AF32E1BA-86A4-4D34-B0D1-C91FB18B131B}">
            <xm:f>NOT(ISERROR(SEARCH($Q$12,T202)))</xm:f>
            <xm:f>$Q$12</xm:f>
            <x14:dxf>
              <fill>
                <patternFill>
                  <bgColor rgb="FFFFFF00"/>
                </patternFill>
              </fill>
            </x14:dxf>
          </x14:cfRule>
          <x14:cfRule type="containsText" priority="8274" operator="containsText" id="{CF4D5996-15BC-45F1-9F8C-DB82C79AD358}">
            <xm:f>NOT(ISERROR(SEARCH($Q$12,T202)))</xm:f>
            <xm:f>$Q$12</xm:f>
            <x14:dxf>
              <fill>
                <patternFill>
                  <bgColor theme="9" tint="0.39994506668294322"/>
                </patternFill>
              </fill>
            </x14:dxf>
          </x14:cfRule>
          <x14:cfRule type="containsText" priority="8272" operator="containsText" id="{0E3E2042-0541-4CEB-8799-57EDB2FAAD90}">
            <xm:f>NOT(ISERROR(SEARCH($Q$12,T202)))</xm:f>
            <xm:f>$Q$12</xm:f>
            <x14:dxf>
              <fill>
                <patternFill>
                  <bgColor rgb="FFFFFF00"/>
                </patternFill>
              </fill>
            </x14:dxf>
          </x14:cfRule>
          <x14:cfRule type="containsText" priority="8275" operator="containsText" id="{94777CA2-8544-4046-A622-896F42C95825}">
            <xm:f>NOT(ISERROR(SEARCH($Q$12,T202)))</xm:f>
            <xm:f>$Q$12</xm:f>
            <x14:dxf>
              <fill>
                <patternFill>
                  <bgColor rgb="FF00B050"/>
                </patternFill>
              </fill>
            </x14:dxf>
          </x14:cfRule>
          <x14:cfRule type="containsText" priority="8276" operator="containsText" id="{CD5C1FD2-2577-4DFC-AD5F-9530335D282D}">
            <xm:f>NOT(ISERROR(SEARCH($Q$12,T202)))</xm:f>
            <xm:f>$Q$12</xm:f>
            <x14:dxf/>
          </x14:cfRule>
          <x14:cfRule type="containsText" priority="8283" operator="containsText" id="{89A30D30-3325-4DC9-9EF9-8FF14D5303D8}">
            <xm:f>NOT(ISERROR(SEARCH($Q$12,T202)))</xm:f>
            <xm:f>$Q$12</xm:f>
            <x14:dxf>
              <fill>
                <patternFill>
                  <bgColor rgb="FFFFC000"/>
                </patternFill>
              </fill>
            </x14:dxf>
          </x14:cfRule>
          <x14:cfRule type="containsText" priority="8281" operator="containsText" id="{33461770-4060-4DBF-AAD8-D5DEF4E39EDF}">
            <xm:f>NOT(ISERROR(SEARCH($Q$12,T202)))</xm:f>
            <xm:f>$Q$12</xm:f>
            <x14:dxf>
              <fill>
                <patternFill>
                  <bgColor theme="9"/>
                </patternFill>
              </fill>
            </x14:dxf>
          </x14:cfRule>
          <x14:cfRule type="containsText" priority="8278" operator="containsText" id="{3CA61B6C-618D-4E9F-82F4-6544A11B3593}">
            <xm:f>NOT(ISERROR(SEARCH($Q$12,T202)))</xm:f>
            <xm:f>$Q$12</xm:f>
            <x14:dxf>
              <fill>
                <patternFill>
                  <bgColor rgb="FFFFC000"/>
                </patternFill>
              </fill>
            </x14:dxf>
          </x14:cfRule>
          <x14:cfRule type="containsText" priority="8279" operator="containsText" id="{49863B74-756A-4510-919D-D718EA34064B}">
            <xm:f>NOT(ISERROR(SEARCH($Q$12,T202)))</xm:f>
            <xm:f>$Q$12</xm:f>
            <x14:dxf>
              <fill>
                <patternFill>
                  <bgColor rgb="FFFF0000"/>
                </patternFill>
              </fill>
            </x14:dxf>
          </x14:cfRule>
          <x14:cfRule type="containsText" priority="8280" operator="containsText" id="{F3709815-7FF7-45BC-BAAF-E21EDED4CC2C}">
            <xm:f>NOT(ISERROR(SEARCH($Q$12,T202)))</xm:f>
            <xm:f>$Q$12</xm:f>
            <x14:dxf>
              <fill>
                <patternFill>
                  <bgColor theme="9" tint="0.59996337778862885"/>
                </patternFill>
              </fill>
            </x14:dxf>
          </x14:cfRule>
          <x14:cfRule type="containsText" priority="8273" operator="containsText" id="{43B823B5-33C9-4FCE-9B54-B0325F9E2A0C}">
            <xm:f>NOT(ISERROR(SEARCH($Q$12,T202)))</xm:f>
            <xm:f>$Q$12</xm:f>
            <x14:dxf>
              <fill>
                <patternFill>
                  <bgColor theme="9" tint="0.79998168889431442"/>
                </patternFill>
              </fill>
            </x14:dxf>
          </x14:cfRule>
          <xm:sqref>T202</xm:sqref>
        </x14:conditionalFormatting>
        <x14:conditionalFormatting xmlns:xm="http://schemas.microsoft.com/office/excel/2006/main">
          <x14:cfRule type="containsText" priority="7852" operator="containsText" id="{1ED147A7-6069-4D0D-A8BF-5FC2F00144EE}">
            <xm:f>NOT(ISERROR(SEARCH($Q$12,T232)))</xm:f>
            <xm:f>$Q$12</xm:f>
            <x14:dxf>
              <fill>
                <patternFill>
                  <bgColor rgb="FFFFFF00"/>
                </patternFill>
              </fill>
            </x14:dxf>
          </x14:cfRule>
          <x14:cfRule type="containsText" priority="7853" operator="containsText" id="{98B22339-0F48-4469-B724-A64D8AAFF747}">
            <xm:f>NOT(ISERROR(SEARCH($Q$12,T232)))</xm:f>
            <xm:f>$Q$12</xm:f>
            <x14:dxf>
              <fill>
                <patternFill>
                  <bgColor theme="9" tint="0.79998168889431442"/>
                </patternFill>
              </fill>
            </x14:dxf>
          </x14:cfRule>
          <x14:cfRule type="containsText" priority="7855" operator="containsText" id="{5AEBCA8E-D8A7-4835-A5F7-C5E223EB3C80}">
            <xm:f>NOT(ISERROR(SEARCH($Q$12,T232)))</xm:f>
            <xm:f>$Q$12</xm:f>
            <x14:dxf>
              <fill>
                <patternFill>
                  <bgColor rgb="FF00B050"/>
                </patternFill>
              </fill>
            </x14:dxf>
          </x14:cfRule>
          <x14:cfRule type="containsText" priority="7856" operator="containsText" id="{CDF65B7F-B09F-4062-A46E-91FC208AF7D2}">
            <xm:f>NOT(ISERROR(SEARCH($Q$12,T232)))</xm:f>
            <xm:f>$Q$12</xm:f>
            <x14:dxf/>
          </x14:cfRule>
          <x14:cfRule type="containsText" priority="7854" operator="containsText" id="{9C4F12A6-4588-45F3-8D68-2F6BE6A8E8C8}">
            <xm:f>NOT(ISERROR(SEARCH($Q$12,T232)))</xm:f>
            <xm:f>$Q$12</xm:f>
            <x14:dxf>
              <fill>
                <patternFill>
                  <bgColor theme="9" tint="0.39994506668294322"/>
                </patternFill>
              </fill>
            </x14:dxf>
          </x14:cfRule>
          <x14:cfRule type="containsText" priority="7863" operator="containsText" id="{628E15D5-E389-40F8-B4A6-4885C29B51B8}">
            <xm:f>NOT(ISERROR(SEARCH($Q$12,T232)))</xm:f>
            <xm:f>$Q$12</xm:f>
            <x14:dxf>
              <fill>
                <patternFill>
                  <bgColor rgb="FFFFC000"/>
                </patternFill>
              </fill>
            </x14:dxf>
          </x14:cfRule>
          <x14:cfRule type="containsText" priority="7859" operator="containsText" id="{D2C1F21C-2955-43D1-94A2-3C62C52C7975}">
            <xm:f>NOT(ISERROR(SEARCH($Q$12,T232)))</xm:f>
            <xm:f>$Q$12</xm:f>
            <x14:dxf>
              <fill>
                <patternFill>
                  <bgColor rgb="FFFF0000"/>
                </patternFill>
              </fill>
            </x14:dxf>
          </x14:cfRule>
          <x14:cfRule type="containsText" priority="7860" operator="containsText" id="{F5760CA8-01A3-48FB-A21F-C9A71CE85391}">
            <xm:f>NOT(ISERROR(SEARCH($Q$12,T232)))</xm:f>
            <xm:f>$Q$12</xm:f>
            <x14:dxf>
              <fill>
                <patternFill>
                  <bgColor theme="9" tint="0.59996337778862885"/>
                </patternFill>
              </fill>
            </x14:dxf>
          </x14:cfRule>
          <x14:cfRule type="containsText" priority="7861" operator="containsText" id="{650B2B20-CE59-4D66-91D0-758F0DD7B93F}">
            <xm:f>NOT(ISERROR(SEARCH($Q$12,T232)))</xm:f>
            <xm:f>$Q$12</xm:f>
            <x14:dxf>
              <fill>
                <patternFill>
                  <bgColor theme="9"/>
                </patternFill>
              </fill>
            </x14:dxf>
          </x14:cfRule>
          <x14:cfRule type="containsText" priority="7858" operator="containsText" id="{76D0EA9F-AFF2-4759-97FA-99EA82406356}">
            <xm:f>NOT(ISERROR(SEARCH($Q$12,T232)))</xm:f>
            <xm:f>$Q$12</xm:f>
            <x14:dxf>
              <fill>
                <patternFill>
                  <bgColor rgb="FFFFC000"/>
                </patternFill>
              </fill>
            </x14:dxf>
          </x14:cfRule>
          <x14:cfRule type="containsText" priority="7857" operator="containsText" id="{D60DF4E7-C060-4F3D-8DCF-9D76B16502B7}">
            <xm:f>NOT(ISERROR(SEARCH($Q$12,T232)))</xm:f>
            <xm:f>$Q$12</xm:f>
            <x14:dxf>
              <fill>
                <patternFill>
                  <bgColor rgb="FFFFFF00"/>
                </patternFill>
              </fill>
            </x14:dxf>
          </x14:cfRule>
          <x14:cfRule type="containsText" priority="7862" operator="containsText" id="{8C629CE8-EA3B-470D-9025-4501B16F6909}">
            <xm:f>NOT(ISERROR(SEARCH($Q$12,T232)))</xm:f>
            <xm:f>$Q$12</xm:f>
            <x14:dxf>
              <fill>
                <patternFill>
                  <bgColor rgb="FFFFFF00"/>
                </patternFill>
              </fill>
            </x14:dxf>
          </x14:cfRule>
          <x14:cfRule type="containsText" priority="7864" operator="containsText" id="{51CD5CBA-C556-471B-8383-717521C3049F}">
            <xm:f>NOT(ISERROR(SEARCH($Q$12,T232)))</xm:f>
            <xm:f>$Q$12</xm:f>
            <x14:dxf>
              <fill>
                <patternFill>
                  <bgColor rgb="FFFF0000"/>
                </patternFill>
              </fill>
            </x14:dxf>
          </x14:cfRule>
          <xm:sqref>T232</xm:sqref>
        </x14:conditionalFormatting>
        <x14:conditionalFormatting xmlns:xm="http://schemas.microsoft.com/office/excel/2006/main">
          <x14:cfRule type="containsText" priority="7804" operator="containsText" id="{EBFA10A9-6B5A-4D65-9F58-D321A2DC4ECE}">
            <xm:f>NOT(ISERROR(SEARCH($Q$12,T242)))</xm:f>
            <xm:f>$Q$12</xm:f>
            <x14:dxf>
              <fill>
                <patternFill>
                  <bgColor rgb="FFFFFF00"/>
                </patternFill>
              </fill>
            </x14:dxf>
          </x14:cfRule>
          <x14:cfRule type="containsText" priority="7813" operator="containsText" id="{65EFC8DE-8AA4-4BB9-AF77-A526CCAC5B05}">
            <xm:f>NOT(ISERROR(SEARCH($Q$12,T242)))</xm:f>
            <xm:f>$Q$12</xm:f>
            <x14:dxf>
              <fill>
                <patternFill>
                  <bgColor theme="9"/>
                </patternFill>
              </fill>
            </x14:dxf>
          </x14:cfRule>
          <x14:cfRule type="containsText" priority="7814" operator="containsText" id="{F7C44602-4ECD-4BFC-85F9-B7ABD68B8721}">
            <xm:f>NOT(ISERROR(SEARCH($Q$12,T242)))</xm:f>
            <xm:f>$Q$12</xm:f>
            <x14:dxf>
              <fill>
                <patternFill>
                  <bgColor rgb="FFFFFF00"/>
                </patternFill>
              </fill>
            </x14:dxf>
          </x14:cfRule>
          <x14:cfRule type="containsText" priority="7815" operator="containsText" id="{FDD6E916-2677-443C-91ED-48AB8735639D}">
            <xm:f>NOT(ISERROR(SEARCH($Q$12,T242)))</xm:f>
            <xm:f>$Q$12</xm:f>
            <x14:dxf>
              <fill>
                <patternFill>
                  <bgColor rgb="FFFFC000"/>
                </patternFill>
              </fill>
            </x14:dxf>
          </x14:cfRule>
          <x14:cfRule type="containsText" priority="7809" operator="containsText" id="{FA02202E-5DC8-4995-A270-018442DE650F}">
            <xm:f>NOT(ISERROR(SEARCH($Q$12,T242)))</xm:f>
            <xm:f>$Q$12</xm:f>
            <x14:dxf>
              <fill>
                <patternFill>
                  <bgColor rgb="FFFFFF00"/>
                </patternFill>
              </fill>
            </x14:dxf>
          </x14:cfRule>
          <x14:cfRule type="containsText" priority="7805" operator="containsText" id="{AC8D333E-0E3F-477F-9E6C-509469A46701}">
            <xm:f>NOT(ISERROR(SEARCH($Q$12,T242)))</xm:f>
            <xm:f>$Q$12</xm:f>
            <x14:dxf>
              <fill>
                <patternFill>
                  <bgColor theme="9" tint="0.79998168889431442"/>
                </patternFill>
              </fill>
            </x14:dxf>
          </x14:cfRule>
          <x14:cfRule type="containsText" priority="7806" operator="containsText" id="{BB31BB06-0769-43B3-819E-BDC082227749}">
            <xm:f>NOT(ISERROR(SEARCH($Q$12,T242)))</xm:f>
            <xm:f>$Q$12</xm:f>
            <x14:dxf>
              <fill>
                <patternFill>
                  <bgColor theme="9" tint="0.39994506668294322"/>
                </patternFill>
              </fill>
            </x14:dxf>
          </x14:cfRule>
          <x14:cfRule type="containsText" priority="7807" operator="containsText" id="{1B51B4AD-2F89-4706-91E2-C2D7528452CC}">
            <xm:f>NOT(ISERROR(SEARCH($Q$12,T242)))</xm:f>
            <xm:f>$Q$12</xm:f>
            <x14:dxf>
              <fill>
                <patternFill>
                  <bgColor rgb="FF00B050"/>
                </patternFill>
              </fill>
            </x14:dxf>
          </x14:cfRule>
          <x14:cfRule type="containsText" priority="7808" operator="containsText" id="{8E321BE3-6C5A-4FDE-B1BD-A27A6C8D8FC8}">
            <xm:f>NOT(ISERROR(SEARCH($Q$12,T242)))</xm:f>
            <xm:f>$Q$12</xm:f>
            <x14:dxf/>
          </x14:cfRule>
          <x14:cfRule type="containsText" priority="7810" operator="containsText" id="{A3CB6FD1-FE59-4BFA-B409-650FCF9946B5}">
            <xm:f>NOT(ISERROR(SEARCH($Q$12,T242)))</xm:f>
            <xm:f>$Q$12</xm:f>
            <x14:dxf>
              <fill>
                <patternFill>
                  <bgColor rgb="FFFFC000"/>
                </patternFill>
              </fill>
            </x14:dxf>
          </x14:cfRule>
          <x14:cfRule type="containsText" priority="7811" operator="containsText" id="{387203D8-7625-47EA-A26C-5A36858AFA43}">
            <xm:f>NOT(ISERROR(SEARCH($Q$12,T242)))</xm:f>
            <xm:f>$Q$12</xm:f>
            <x14:dxf>
              <fill>
                <patternFill>
                  <bgColor rgb="FFFF0000"/>
                </patternFill>
              </fill>
            </x14:dxf>
          </x14:cfRule>
          <x14:cfRule type="containsText" priority="7812" operator="containsText" id="{F4FDE505-7E27-4552-900B-CF3F96FBE932}">
            <xm:f>NOT(ISERROR(SEARCH($Q$12,T242)))</xm:f>
            <xm:f>$Q$12</xm:f>
            <x14:dxf>
              <fill>
                <patternFill>
                  <bgColor theme="9" tint="0.59996337778862885"/>
                </patternFill>
              </fill>
            </x14:dxf>
          </x14:cfRule>
          <x14:cfRule type="containsText" priority="7816" operator="containsText" id="{4F0FBAF0-A947-4E2E-B239-720B4BEFED00}">
            <xm:f>NOT(ISERROR(SEARCH($Q$12,T242)))</xm:f>
            <xm:f>$Q$12</xm:f>
            <x14:dxf>
              <fill>
                <patternFill>
                  <bgColor rgb="FFFF0000"/>
                </patternFill>
              </fill>
            </x14:dxf>
          </x14:cfRule>
          <xm:sqref>T242</xm:sqref>
        </x14:conditionalFormatting>
        <x14:conditionalFormatting xmlns:xm="http://schemas.microsoft.com/office/excel/2006/main">
          <x14:cfRule type="containsText" priority="7763" operator="containsText" id="{E84F3CF2-AE4F-4673-BF61-98DC5ACEF889}">
            <xm:f>NOT(ISERROR(SEARCH($Q$12,T252)))</xm:f>
            <xm:f>$Q$12</xm:f>
            <x14:dxf>
              <fill>
                <patternFill>
                  <bgColor rgb="FFFF0000"/>
                </patternFill>
              </fill>
            </x14:dxf>
          </x14:cfRule>
          <x14:cfRule type="containsText" priority="7762" operator="containsText" id="{6BE9E608-88E9-4108-8CAE-B595DCC3D64C}">
            <xm:f>NOT(ISERROR(SEARCH($Q$12,T252)))</xm:f>
            <xm:f>$Q$12</xm:f>
            <x14:dxf>
              <fill>
                <patternFill>
                  <bgColor rgb="FFFFC000"/>
                </patternFill>
              </fill>
            </x14:dxf>
          </x14:cfRule>
          <x14:cfRule type="containsText" priority="7761" operator="containsText" id="{EF70D5F4-01F0-445A-8C82-AA84FDCB40C1}">
            <xm:f>NOT(ISERROR(SEARCH($Q$12,T252)))</xm:f>
            <xm:f>$Q$12</xm:f>
            <x14:dxf>
              <fill>
                <patternFill>
                  <bgColor rgb="FFFFFF00"/>
                </patternFill>
              </fill>
            </x14:dxf>
          </x14:cfRule>
          <x14:cfRule type="containsText" priority="7760" operator="containsText" id="{CAD0310D-2725-44E7-80DB-527495CA465E}">
            <xm:f>NOT(ISERROR(SEARCH($Q$12,T252)))</xm:f>
            <xm:f>$Q$12</xm:f>
            <x14:dxf/>
          </x14:cfRule>
          <x14:cfRule type="containsText" priority="7759" operator="containsText" id="{37446EA3-6B35-4765-BEA5-94347489894A}">
            <xm:f>NOT(ISERROR(SEARCH($Q$12,T252)))</xm:f>
            <xm:f>$Q$12</xm:f>
            <x14:dxf>
              <fill>
                <patternFill>
                  <bgColor rgb="FF00B050"/>
                </patternFill>
              </fill>
            </x14:dxf>
          </x14:cfRule>
          <x14:cfRule type="containsText" priority="7758" operator="containsText" id="{12D0E911-FDBC-4BB5-B1E1-0820B19AEA07}">
            <xm:f>NOT(ISERROR(SEARCH($Q$12,T252)))</xm:f>
            <xm:f>$Q$12</xm:f>
            <x14:dxf>
              <fill>
                <patternFill>
                  <bgColor theme="9" tint="0.39994506668294322"/>
                </patternFill>
              </fill>
            </x14:dxf>
          </x14:cfRule>
          <x14:cfRule type="containsText" priority="7757" operator="containsText" id="{79D74933-FEAE-4999-9D1C-2E195AB6D23E}">
            <xm:f>NOT(ISERROR(SEARCH($Q$12,T252)))</xm:f>
            <xm:f>$Q$12</xm:f>
            <x14:dxf>
              <fill>
                <patternFill>
                  <bgColor theme="9" tint="0.79998168889431442"/>
                </patternFill>
              </fill>
            </x14:dxf>
          </x14:cfRule>
          <x14:cfRule type="containsText" priority="7756" operator="containsText" id="{A1B0B41E-2BF5-474F-ABAB-6BADCA2EEF0D}">
            <xm:f>NOT(ISERROR(SEARCH($Q$12,T252)))</xm:f>
            <xm:f>$Q$12</xm:f>
            <x14:dxf>
              <fill>
                <patternFill>
                  <bgColor rgb="FFFFFF00"/>
                </patternFill>
              </fill>
            </x14:dxf>
          </x14:cfRule>
          <x14:cfRule type="containsText" priority="7768" operator="containsText" id="{CB32FB46-9DF4-40A9-A985-EAD65E53962C}">
            <xm:f>NOT(ISERROR(SEARCH($Q$12,T252)))</xm:f>
            <xm:f>$Q$12</xm:f>
            <x14:dxf>
              <fill>
                <patternFill>
                  <bgColor rgb="FFFF0000"/>
                </patternFill>
              </fill>
            </x14:dxf>
          </x14:cfRule>
          <x14:cfRule type="containsText" priority="7767" operator="containsText" id="{CB3DF333-BD4C-4856-9C52-3AD1F04292BE}">
            <xm:f>NOT(ISERROR(SEARCH($Q$12,T252)))</xm:f>
            <xm:f>$Q$12</xm:f>
            <x14:dxf>
              <fill>
                <patternFill>
                  <bgColor rgb="FFFFC000"/>
                </patternFill>
              </fill>
            </x14:dxf>
          </x14:cfRule>
          <x14:cfRule type="containsText" priority="7766" operator="containsText" id="{06ABA577-C671-4B8C-AEF7-5A5B7DC307FD}">
            <xm:f>NOT(ISERROR(SEARCH($Q$12,T252)))</xm:f>
            <xm:f>$Q$12</xm:f>
            <x14:dxf>
              <fill>
                <patternFill>
                  <bgColor rgb="FFFFFF00"/>
                </patternFill>
              </fill>
            </x14:dxf>
          </x14:cfRule>
          <x14:cfRule type="containsText" priority="7765" operator="containsText" id="{A4C16983-D145-4F06-BD55-030E396B6204}">
            <xm:f>NOT(ISERROR(SEARCH($Q$12,T252)))</xm:f>
            <xm:f>$Q$12</xm:f>
            <x14:dxf>
              <fill>
                <patternFill>
                  <bgColor theme="9"/>
                </patternFill>
              </fill>
            </x14:dxf>
          </x14:cfRule>
          <x14:cfRule type="containsText" priority="7764" operator="containsText" id="{FC89C105-578E-4152-B2BD-D2FD069FAA48}">
            <xm:f>NOT(ISERROR(SEARCH($Q$12,T252)))</xm:f>
            <xm:f>$Q$12</xm:f>
            <x14:dxf>
              <fill>
                <patternFill>
                  <bgColor theme="9" tint="0.59996337778862885"/>
                </patternFill>
              </fill>
            </x14:dxf>
          </x14:cfRule>
          <xm:sqref>T252</xm:sqref>
        </x14:conditionalFormatting>
        <x14:conditionalFormatting xmlns:xm="http://schemas.microsoft.com/office/excel/2006/main">
          <x14:cfRule type="containsText" priority="7708" operator="containsText" id="{4625AADE-0F1F-4B80-A17F-527A65A9E74F}">
            <xm:f>NOT(ISERROR(SEARCH($Q$12,T262)))</xm:f>
            <xm:f>$Q$12</xm:f>
            <x14:dxf>
              <fill>
                <patternFill>
                  <bgColor rgb="FFFFFF00"/>
                </patternFill>
              </fill>
            </x14:dxf>
          </x14:cfRule>
          <x14:cfRule type="containsText" priority="7718" operator="containsText" id="{0A447FA8-7336-41DA-AD08-7DC29D90C5C1}">
            <xm:f>NOT(ISERROR(SEARCH($Q$12,T262)))</xm:f>
            <xm:f>$Q$12</xm:f>
            <x14:dxf>
              <fill>
                <patternFill>
                  <bgColor rgb="FFFFFF00"/>
                </patternFill>
              </fill>
            </x14:dxf>
          </x14:cfRule>
          <x14:cfRule type="containsText" priority="7715" operator="containsText" id="{6B3E32DD-FBDF-4B0A-91FA-8F25F94F3ECD}">
            <xm:f>NOT(ISERROR(SEARCH($Q$12,T262)))</xm:f>
            <xm:f>$Q$12</xm:f>
            <x14:dxf>
              <fill>
                <patternFill>
                  <bgColor rgb="FFFF0000"/>
                </patternFill>
              </fill>
            </x14:dxf>
          </x14:cfRule>
          <x14:cfRule type="containsText" priority="7719" operator="containsText" id="{B4899AEE-578D-4B9D-9AFA-C6442E8D2B22}">
            <xm:f>NOT(ISERROR(SEARCH($Q$12,T262)))</xm:f>
            <xm:f>$Q$12</xm:f>
            <x14:dxf>
              <fill>
                <patternFill>
                  <bgColor rgb="FFFFC000"/>
                </patternFill>
              </fill>
            </x14:dxf>
          </x14:cfRule>
          <x14:cfRule type="containsText" priority="7714" operator="containsText" id="{45CBFC0C-03F0-418B-AA20-6C299EE8B06F}">
            <xm:f>NOT(ISERROR(SEARCH($Q$12,T262)))</xm:f>
            <xm:f>$Q$12</xm:f>
            <x14:dxf>
              <fill>
                <patternFill>
                  <bgColor rgb="FFFFC000"/>
                </patternFill>
              </fill>
            </x14:dxf>
          </x14:cfRule>
          <x14:cfRule type="containsText" priority="7716" operator="containsText" id="{16596838-A924-4CE4-A89B-1140C5B7C7DE}">
            <xm:f>NOT(ISERROR(SEARCH($Q$12,T262)))</xm:f>
            <xm:f>$Q$12</xm:f>
            <x14:dxf>
              <fill>
                <patternFill>
                  <bgColor theme="9" tint="0.59996337778862885"/>
                </patternFill>
              </fill>
            </x14:dxf>
          </x14:cfRule>
          <x14:cfRule type="containsText" priority="7720" operator="containsText" id="{BCC1A302-19B5-404D-B4F8-C4922FDE507F}">
            <xm:f>NOT(ISERROR(SEARCH($Q$12,T262)))</xm:f>
            <xm:f>$Q$12</xm:f>
            <x14:dxf>
              <fill>
                <patternFill>
                  <bgColor rgb="FFFF0000"/>
                </patternFill>
              </fill>
            </x14:dxf>
          </x14:cfRule>
          <x14:cfRule type="containsText" priority="7712" operator="containsText" id="{38ABA4FE-B54C-4E53-B381-C3A41AE88A31}">
            <xm:f>NOT(ISERROR(SEARCH($Q$12,T262)))</xm:f>
            <xm:f>$Q$12</xm:f>
            <x14:dxf/>
          </x14:cfRule>
          <x14:cfRule type="containsText" priority="7713" operator="containsText" id="{4F6FF5F5-C593-492B-B270-F8F92A95B8DA}">
            <xm:f>NOT(ISERROR(SEARCH($Q$12,T262)))</xm:f>
            <xm:f>$Q$12</xm:f>
            <x14:dxf>
              <fill>
                <patternFill>
                  <bgColor rgb="FFFFFF00"/>
                </patternFill>
              </fill>
            </x14:dxf>
          </x14:cfRule>
          <x14:cfRule type="containsText" priority="7717" operator="containsText" id="{E3CA2318-6355-4BCE-AA5E-8CB7B8B24F9F}">
            <xm:f>NOT(ISERROR(SEARCH($Q$12,T262)))</xm:f>
            <xm:f>$Q$12</xm:f>
            <x14:dxf>
              <fill>
                <patternFill>
                  <bgColor theme="9"/>
                </patternFill>
              </fill>
            </x14:dxf>
          </x14:cfRule>
          <x14:cfRule type="containsText" priority="7709" operator="containsText" id="{F1339660-C928-4CBF-B8A3-57536D00C388}">
            <xm:f>NOT(ISERROR(SEARCH($Q$12,T262)))</xm:f>
            <xm:f>$Q$12</xm:f>
            <x14:dxf>
              <fill>
                <patternFill>
                  <bgColor theme="9" tint="0.79998168889431442"/>
                </patternFill>
              </fill>
            </x14:dxf>
          </x14:cfRule>
          <x14:cfRule type="containsText" priority="7710" operator="containsText" id="{1DD771E6-5AD6-4472-AC0B-46092DE533F9}">
            <xm:f>NOT(ISERROR(SEARCH($Q$12,T262)))</xm:f>
            <xm:f>$Q$12</xm:f>
            <x14:dxf>
              <fill>
                <patternFill>
                  <bgColor theme="9" tint="0.39994506668294322"/>
                </patternFill>
              </fill>
            </x14:dxf>
          </x14:cfRule>
          <x14:cfRule type="containsText" priority="7711" operator="containsText" id="{4DFF8F28-F9F2-48B9-AD3A-B5D86335B0B2}">
            <xm:f>NOT(ISERROR(SEARCH($Q$12,T262)))</xm:f>
            <xm:f>$Q$12</xm:f>
            <x14:dxf>
              <fill>
                <patternFill>
                  <bgColor rgb="FF00B050"/>
                </patternFill>
              </fill>
            </x14:dxf>
          </x14:cfRule>
          <xm:sqref>T262</xm:sqref>
        </x14:conditionalFormatting>
        <x14:conditionalFormatting xmlns:xm="http://schemas.microsoft.com/office/excel/2006/main">
          <x14:cfRule type="containsText" priority="7672" operator="containsText" id="{A6CF0F60-105E-4824-AB24-C72ABA2447B2}">
            <xm:f>NOT(ISERROR(SEARCH($Q$12,T272)))</xm:f>
            <xm:f>$Q$12</xm:f>
            <x14:dxf>
              <fill>
                <patternFill>
                  <bgColor rgb="FFFF0000"/>
                </patternFill>
              </fill>
            </x14:dxf>
          </x14:cfRule>
          <x14:cfRule type="containsText" priority="7671" operator="containsText" id="{9E8A541B-6D33-4595-8AC1-00202CCD93C3}">
            <xm:f>NOT(ISERROR(SEARCH($Q$12,T272)))</xm:f>
            <xm:f>$Q$12</xm:f>
            <x14:dxf>
              <fill>
                <patternFill>
                  <bgColor rgb="FFFFC000"/>
                </patternFill>
              </fill>
            </x14:dxf>
          </x14:cfRule>
          <x14:cfRule type="containsText" priority="7670" operator="containsText" id="{89ADCD16-FF8D-4D9F-B53D-2A9B8B9A0BF4}">
            <xm:f>NOT(ISERROR(SEARCH($Q$12,T272)))</xm:f>
            <xm:f>$Q$12</xm:f>
            <x14:dxf>
              <fill>
                <patternFill>
                  <bgColor rgb="FFFFFF00"/>
                </patternFill>
              </fill>
            </x14:dxf>
          </x14:cfRule>
          <x14:cfRule type="containsText" priority="7662" operator="containsText" id="{EECEFD5B-80B0-4AD4-BD91-8C576577C74B}">
            <xm:f>NOT(ISERROR(SEARCH($Q$12,T272)))</xm:f>
            <xm:f>$Q$12</xm:f>
            <x14:dxf>
              <fill>
                <patternFill>
                  <bgColor theme="9" tint="0.39994506668294322"/>
                </patternFill>
              </fill>
            </x14:dxf>
          </x14:cfRule>
          <x14:cfRule type="containsText" priority="7661" operator="containsText" id="{3741AE76-732E-4424-9C87-9A1C2E774BF0}">
            <xm:f>NOT(ISERROR(SEARCH($Q$12,T272)))</xm:f>
            <xm:f>$Q$12</xm:f>
            <x14:dxf>
              <fill>
                <patternFill>
                  <bgColor theme="9" tint="0.79998168889431442"/>
                </patternFill>
              </fill>
            </x14:dxf>
          </x14:cfRule>
          <x14:cfRule type="containsText" priority="7669" operator="containsText" id="{E940F48E-78E0-4CDD-97DD-D658BD54CD2D}">
            <xm:f>NOT(ISERROR(SEARCH($Q$12,T272)))</xm:f>
            <xm:f>$Q$12</xm:f>
            <x14:dxf>
              <fill>
                <patternFill>
                  <bgColor theme="9"/>
                </patternFill>
              </fill>
            </x14:dxf>
          </x14:cfRule>
          <x14:cfRule type="containsText" priority="7668" operator="containsText" id="{3E8B6B2F-9C9A-46B9-B0FC-DE1AC0E6C181}">
            <xm:f>NOT(ISERROR(SEARCH($Q$12,T272)))</xm:f>
            <xm:f>$Q$12</xm:f>
            <x14:dxf>
              <fill>
                <patternFill>
                  <bgColor theme="9" tint="0.59996337778862885"/>
                </patternFill>
              </fill>
            </x14:dxf>
          </x14:cfRule>
          <x14:cfRule type="containsText" priority="7667" operator="containsText" id="{9011A9DA-14A7-4518-870F-59DD5EE7B2E2}">
            <xm:f>NOT(ISERROR(SEARCH($Q$12,T272)))</xm:f>
            <xm:f>$Q$12</xm:f>
            <x14:dxf>
              <fill>
                <patternFill>
                  <bgColor rgb="FFFF0000"/>
                </patternFill>
              </fill>
            </x14:dxf>
          </x14:cfRule>
          <x14:cfRule type="containsText" priority="7665" operator="containsText" id="{F9408F01-4F9C-4300-9317-6C6311D38EAD}">
            <xm:f>NOT(ISERROR(SEARCH($Q$12,T272)))</xm:f>
            <xm:f>$Q$12</xm:f>
            <x14:dxf>
              <fill>
                <patternFill>
                  <bgColor rgb="FFFFFF00"/>
                </patternFill>
              </fill>
            </x14:dxf>
          </x14:cfRule>
          <x14:cfRule type="containsText" priority="7666" operator="containsText" id="{12C63454-02CE-440C-809D-DE4193339BB3}">
            <xm:f>NOT(ISERROR(SEARCH($Q$12,T272)))</xm:f>
            <xm:f>$Q$12</xm:f>
            <x14:dxf>
              <fill>
                <patternFill>
                  <bgColor rgb="FFFFC000"/>
                </patternFill>
              </fill>
            </x14:dxf>
          </x14:cfRule>
          <x14:cfRule type="containsText" priority="7660" operator="containsText" id="{6414ED1A-E71B-421A-A8E5-07DC33BE25B6}">
            <xm:f>NOT(ISERROR(SEARCH($Q$12,T272)))</xm:f>
            <xm:f>$Q$12</xm:f>
            <x14:dxf>
              <fill>
                <patternFill>
                  <bgColor rgb="FFFFFF00"/>
                </patternFill>
              </fill>
            </x14:dxf>
          </x14:cfRule>
          <x14:cfRule type="containsText" priority="7664" operator="containsText" id="{004DCDD1-752D-4AF3-A350-9E4DB035C9A1}">
            <xm:f>NOT(ISERROR(SEARCH($Q$12,T272)))</xm:f>
            <xm:f>$Q$12</xm:f>
            <x14:dxf/>
          </x14:cfRule>
          <x14:cfRule type="containsText" priority="7663" operator="containsText" id="{CB9C5D33-3406-4934-8967-CAE4EAC1CA85}">
            <xm:f>NOT(ISERROR(SEARCH($Q$12,T272)))</xm:f>
            <xm:f>$Q$12</xm:f>
            <x14:dxf>
              <fill>
                <patternFill>
                  <bgColor rgb="FF00B050"/>
                </patternFill>
              </fill>
            </x14:dxf>
          </x14:cfRule>
          <xm:sqref>T272</xm:sqref>
        </x14:conditionalFormatting>
        <x14:conditionalFormatting xmlns:xm="http://schemas.microsoft.com/office/excel/2006/main">
          <x14:cfRule type="containsText" priority="7622" operator="containsText" id="{E43B5585-35A0-4F16-9CC5-4609AF9F288F}">
            <xm:f>NOT(ISERROR(SEARCH($Q$12,T282)))</xm:f>
            <xm:f>$Q$12</xm:f>
            <x14:dxf>
              <fill>
                <patternFill>
                  <bgColor rgb="FFFFFF00"/>
                </patternFill>
              </fill>
            </x14:dxf>
          </x14:cfRule>
          <x14:cfRule type="containsText" priority="7623" operator="containsText" id="{BFF93C82-2158-4FD8-8B26-AB871CE2BAA8}">
            <xm:f>NOT(ISERROR(SEARCH($Q$12,T282)))</xm:f>
            <xm:f>$Q$12</xm:f>
            <x14:dxf>
              <fill>
                <patternFill>
                  <bgColor rgb="FFFFC000"/>
                </patternFill>
              </fill>
            </x14:dxf>
          </x14:cfRule>
          <x14:cfRule type="containsText" priority="7624" operator="containsText" id="{9E8CEDF8-E6D1-47F5-9923-DCB7236A66A1}">
            <xm:f>NOT(ISERROR(SEARCH($Q$12,T282)))</xm:f>
            <xm:f>$Q$12</xm:f>
            <x14:dxf>
              <fill>
                <patternFill>
                  <bgColor rgb="FFFF0000"/>
                </patternFill>
              </fill>
            </x14:dxf>
          </x14:cfRule>
          <x14:cfRule type="containsText" priority="7613" operator="containsText" id="{167DC175-34E1-41E5-8C27-BB1459A05E4A}">
            <xm:f>NOT(ISERROR(SEARCH($Q$12,T282)))</xm:f>
            <xm:f>$Q$12</xm:f>
            <x14:dxf>
              <fill>
                <patternFill>
                  <bgColor theme="9" tint="0.79998168889431442"/>
                </patternFill>
              </fill>
            </x14:dxf>
          </x14:cfRule>
          <x14:cfRule type="containsText" priority="7612" operator="containsText" id="{8D8C3C54-81DE-4E39-931D-857208D9A5FB}">
            <xm:f>NOT(ISERROR(SEARCH($Q$12,T282)))</xm:f>
            <xm:f>$Q$12</xm:f>
            <x14:dxf>
              <fill>
                <patternFill>
                  <bgColor rgb="FFFFFF00"/>
                </patternFill>
              </fill>
            </x14:dxf>
          </x14:cfRule>
          <x14:cfRule type="containsText" priority="7617" operator="containsText" id="{C666881B-33BC-4520-92E3-A37863EF1F38}">
            <xm:f>NOT(ISERROR(SEARCH($Q$12,T282)))</xm:f>
            <xm:f>$Q$12</xm:f>
            <x14:dxf>
              <fill>
                <patternFill>
                  <bgColor rgb="FFFFFF00"/>
                </patternFill>
              </fill>
            </x14:dxf>
          </x14:cfRule>
          <x14:cfRule type="containsText" priority="7614" operator="containsText" id="{85BF7F5F-610E-4807-AF3D-D80E77CA50DA}">
            <xm:f>NOT(ISERROR(SEARCH($Q$12,T282)))</xm:f>
            <xm:f>$Q$12</xm:f>
            <x14:dxf>
              <fill>
                <patternFill>
                  <bgColor theme="9" tint="0.39994506668294322"/>
                </patternFill>
              </fill>
            </x14:dxf>
          </x14:cfRule>
          <x14:cfRule type="containsText" priority="7615" operator="containsText" id="{3A4E067F-B291-4F67-B14C-FB90A555E9DF}">
            <xm:f>NOT(ISERROR(SEARCH($Q$12,T282)))</xm:f>
            <xm:f>$Q$12</xm:f>
            <x14:dxf>
              <fill>
                <patternFill>
                  <bgColor rgb="FF00B050"/>
                </patternFill>
              </fill>
            </x14:dxf>
          </x14:cfRule>
          <x14:cfRule type="containsText" priority="7616" operator="containsText" id="{9AB69A9F-6236-46BB-83A3-E7A26042FDD6}">
            <xm:f>NOT(ISERROR(SEARCH($Q$12,T282)))</xm:f>
            <xm:f>$Q$12</xm:f>
            <x14:dxf/>
          </x14:cfRule>
          <x14:cfRule type="containsText" priority="7618" operator="containsText" id="{0747701C-0834-4207-ABDF-394CB4A15929}">
            <xm:f>NOT(ISERROR(SEARCH($Q$12,T282)))</xm:f>
            <xm:f>$Q$12</xm:f>
            <x14:dxf>
              <fill>
                <patternFill>
                  <bgColor rgb="FFFFC000"/>
                </patternFill>
              </fill>
            </x14:dxf>
          </x14:cfRule>
          <x14:cfRule type="containsText" priority="7619" operator="containsText" id="{E42091F4-3F4E-428F-BC78-665569F68E9F}">
            <xm:f>NOT(ISERROR(SEARCH($Q$12,T282)))</xm:f>
            <xm:f>$Q$12</xm:f>
            <x14:dxf>
              <fill>
                <patternFill>
                  <bgColor rgb="FFFF0000"/>
                </patternFill>
              </fill>
            </x14:dxf>
          </x14:cfRule>
          <x14:cfRule type="containsText" priority="7620" operator="containsText" id="{D0637197-F33A-4620-8C8F-CB9F0B3B9E54}">
            <xm:f>NOT(ISERROR(SEARCH($Q$12,T282)))</xm:f>
            <xm:f>$Q$12</xm:f>
            <x14:dxf>
              <fill>
                <patternFill>
                  <bgColor theme="9" tint="0.59996337778862885"/>
                </patternFill>
              </fill>
            </x14:dxf>
          </x14:cfRule>
          <x14:cfRule type="containsText" priority="7621" operator="containsText" id="{15A67B18-3913-4104-A768-60F543F41FEC}">
            <xm:f>NOT(ISERROR(SEARCH($Q$12,T282)))</xm:f>
            <xm:f>$Q$12</xm:f>
            <x14:dxf>
              <fill>
                <patternFill>
                  <bgColor theme="9"/>
                </patternFill>
              </fill>
            </x14:dxf>
          </x14:cfRule>
          <xm:sqref>T282</xm:sqref>
        </x14:conditionalFormatting>
        <x14:conditionalFormatting xmlns:xm="http://schemas.microsoft.com/office/excel/2006/main">
          <x14:cfRule type="containsText" priority="7573" operator="containsText" id="{82C38B18-174F-49D1-B6D6-032D7831EB71}">
            <xm:f>NOT(ISERROR(SEARCH($Q$12,T292)))</xm:f>
            <xm:f>$Q$12</xm:f>
            <x14:dxf>
              <fill>
                <patternFill>
                  <bgColor theme="9"/>
                </patternFill>
              </fill>
            </x14:dxf>
          </x14:cfRule>
          <x14:cfRule type="containsText" priority="7567" operator="containsText" id="{17395AA5-7BCB-4217-984E-8FBBBA0AAF9D}">
            <xm:f>NOT(ISERROR(SEARCH($Q$12,T292)))</xm:f>
            <xm:f>$Q$12</xm:f>
            <x14:dxf>
              <fill>
                <patternFill>
                  <bgColor rgb="FF00B050"/>
                </patternFill>
              </fill>
            </x14:dxf>
          </x14:cfRule>
          <x14:cfRule type="containsText" priority="7569" operator="containsText" id="{8669C77F-7BD9-4643-83FA-78A483B538D8}">
            <xm:f>NOT(ISERROR(SEARCH($Q$12,T292)))</xm:f>
            <xm:f>$Q$12</xm:f>
            <x14:dxf>
              <fill>
                <patternFill>
                  <bgColor rgb="FFFFFF00"/>
                </patternFill>
              </fill>
            </x14:dxf>
          </x14:cfRule>
          <x14:cfRule type="containsText" priority="7570" operator="containsText" id="{C4014901-9663-4781-AE73-6B5F5957DD6B}">
            <xm:f>NOT(ISERROR(SEARCH($Q$12,T292)))</xm:f>
            <xm:f>$Q$12</xm:f>
            <x14:dxf>
              <fill>
                <patternFill>
                  <bgColor rgb="FFFFC000"/>
                </patternFill>
              </fill>
            </x14:dxf>
          </x14:cfRule>
          <x14:cfRule type="containsText" priority="7571" operator="containsText" id="{2E13A5B0-B641-4C13-A8A2-399CA0C26F32}">
            <xm:f>NOT(ISERROR(SEARCH($Q$12,T292)))</xm:f>
            <xm:f>$Q$12</xm:f>
            <x14:dxf>
              <fill>
                <patternFill>
                  <bgColor rgb="FFFF0000"/>
                </patternFill>
              </fill>
            </x14:dxf>
          </x14:cfRule>
          <x14:cfRule type="containsText" priority="7574" operator="containsText" id="{DF32CEFB-0E9E-455E-81A6-69F504167631}">
            <xm:f>NOT(ISERROR(SEARCH($Q$12,T292)))</xm:f>
            <xm:f>$Q$12</xm:f>
            <x14:dxf>
              <fill>
                <patternFill>
                  <bgColor rgb="FFFFFF00"/>
                </patternFill>
              </fill>
            </x14:dxf>
          </x14:cfRule>
          <x14:cfRule type="containsText" priority="7575" operator="containsText" id="{FA091436-80F4-4310-AB05-8170DD3685D3}">
            <xm:f>NOT(ISERROR(SEARCH($Q$12,T292)))</xm:f>
            <xm:f>$Q$12</xm:f>
            <x14:dxf>
              <fill>
                <patternFill>
                  <bgColor rgb="FFFFC000"/>
                </patternFill>
              </fill>
            </x14:dxf>
          </x14:cfRule>
          <x14:cfRule type="containsText" priority="7576" operator="containsText" id="{1E384E8B-C972-4F39-A1D7-08D406B5E795}">
            <xm:f>NOT(ISERROR(SEARCH($Q$12,T292)))</xm:f>
            <xm:f>$Q$12</xm:f>
            <x14:dxf>
              <fill>
                <patternFill>
                  <bgColor rgb="FFFF0000"/>
                </patternFill>
              </fill>
            </x14:dxf>
          </x14:cfRule>
          <x14:cfRule type="containsText" priority="7572" operator="containsText" id="{444B7050-AC7F-4D11-9395-49BF35D73823}">
            <xm:f>NOT(ISERROR(SEARCH($Q$12,T292)))</xm:f>
            <xm:f>$Q$12</xm:f>
            <x14:dxf>
              <fill>
                <patternFill>
                  <bgColor theme="9" tint="0.59996337778862885"/>
                </patternFill>
              </fill>
            </x14:dxf>
          </x14:cfRule>
          <x14:cfRule type="containsText" priority="7566" operator="containsText" id="{EA596AC9-741F-4BC2-885C-C35DD3853531}">
            <xm:f>NOT(ISERROR(SEARCH($Q$12,T292)))</xm:f>
            <xm:f>$Q$12</xm:f>
            <x14:dxf>
              <fill>
                <patternFill>
                  <bgColor theme="9" tint="0.39994506668294322"/>
                </patternFill>
              </fill>
            </x14:dxf>
          </x14:cfRule>
          <x14:cfRule type="containsText" priority="7568" operator="containsText" id="{27EE1633-9233-4FF9-BE06-9B079E1DB2DB}">
            <xm:f>NOT(ISERROR(SEARCH($Q$12,T292)))</xm:f>
            <xm:f>$Q$12</xm:f>
            <x14:dxf/>
          </x14:cfRule>
          <x14:cfRule type="containsText" priority="7565" operator="containsText" id="{4EA70306-C56F-459D-ACFD-3ECD83DDBF5F}">
            <xm:f>NOT(ISERROR(SEARCH($Q$12,T292)))</xm:f>
            <xm:f>$Q$12</xm:f>
            <x14:dxf>
              <fill>
                <patternFill>
                  <bgColor theme="9" tint="0.79998168889431442"/>
                </patternFill>
              </fill>
            </x14:dxf>
          </x14:cfRule>
          <x14:cfRule type="containsText" priority="7564" operator="containsText" id="{2B599127-DFEE-4A72-BCCA-6274115C2063}">
            <xm:f>NOT(ISERROR(SEARCH($Q$12,T292)))</xm:f>
            <xm:f>$Q$12</xm:f>
            <x14:dxf>
              <fill>
                <patternFill>
                  <bgColor rgb="FFFFFF00"/>
                </patternFill>
              </fill>
            </x14:dxf>
          </x14:cfRule>
          <xm:sqref>T292</xm:sqref>
        </x14:conditionalFormatting>
        <x14:conditionalFormatting xmlns:xm="http://schemas.microsoft.com/office/excel/2006/main">
          <x14:cfRule type="containsText" priority="7516" operator="containsText" id="{D1CAFEEF-F53C-4DA0-ADA1-8B7AC1DD453F}">
            <xm:f>NOT(ISERROR(SEARCH($Q$12,T302)))</xm:f>
            <xm:f>$Q$12</xm:f>
            <x14:dxf>
              <fill>
                <patternFill>
                  <bgColor rgb="FFFFFF00"/>
                </patternFill>
              </fill>
            </x14:dxf>
          </x14:cfRule>
          <x14:cfRule type="containsText" priority="7518" operator="containsText" id="{623ED034-FC72-4B16-8AE8-94ABF1CEFFF1}">
            <xm:f>NOT(ISERROR(SEARCH($Q$12,T302)))</xm:f>
            <xm:f>$Q$12</xm:f>
            <x14:dxf>
              <fill>
                <patternFill>
                  <bgColor theme="9" tint="0.39994506668294322"/>
                </patternFill>
              </fill>
            </x14:dxf>
          </x14:cfRule>
          <x14:cfRule type="containsText" priority="7519" operator="containsText" id="{D7B1FE42-9DD9-4713-835A-FA7E0091651C}">
            <xm:f>NOT(ISERROR(SEARCH($Q$12,T302)))</xm:f>
            <xm:f>$Q$12</xm:f>
            <x14:dxf>
              <fill>
                <patternFill>
                  <bgColor rgb="FF00B050"/>
                </patternFill>
              </fill>
            </x14:dxf>
          </x14:cfRule>
          <x14:cfRule type="containsText" priority="7520" operator="containsText" id="{F002CE11-561F-4BB8-80B4-82D7CD38F4B4}">
            <xm:f>NOT(ISERROR(SEARCH($Q$12,T302)))</xm:f>
            <xm:f>$Q$12</xm:f>
            <x14:dxf/>
          </x14:cfRule>
          <x14:cfRule type="containsText" priority="7521" operator="containsText" id="{1281709C-89C5-4673-8658-DC1787582027}">
            <xm:f>NOT(ISERROR(SEARCH($Q$12,T302)))</xm:f>
            <xm:f>$Q$12</xm:f>
            <x14:dxf>
              <fill>
                <patternFill>
                  <bgColor rgb="FFFFFF00"/>
                </patternFill>
              </fill>
            </x14:dxf>
          </x14:cfRule>
          <x14:cfRule type="containsText" priority="7522" operator="containsText" id="{0F996D60-CDB4-4B58-B1C9-3977D3667FF8}">
            <xm:f>NOT(ISERROR(SEARCH($Q$12,T302)))</xm:f>
            <xm:f>$Q$12</xm:f>
            <x14:dxf>
              <fill>
                <patternFill>
                  <bgColor rgb="FFFFC000"/>
                </patternFill>
              </fill>
            </x14:dxf>
          </x14:cfRule>
          <x14:cfRule type="containsText" priority="7523" operator="containsText" id="{D2AF9583-4375-4260-AE5D-543DF04545C3}">
            <xm:f>NOT(ISERROR(SEARCH($Q$12,T302)))</xm:f>
            <xm:f>$Q$12</xm:f>
            <x14:dxf>
              <fill>
                <patternFill>
                  <bgColor rgb="FFFF0000"/>
                </patternFill>
              </fill>
            </x14:dxf>
          </x14:cfRule>
          <x14:cfRule type="containsText" priority="7524" operator="containsText" id="{76E6B5B9-44FA-4688-97F1-0115E0C9804E}">
            <xm:f>NOT(ISERROR(SEARCH($Q$12,T302)))</xm:f>
            <xm:f>$Q$12</xm:f>
            <x14:dxf>
              <fill>
                <patternFill>
                  <bgColor theme="9" tint="0.59996337778862885"/>
                </patternFill>
              </fill>
            </x14:dxf>
          </x14:cfRule>
          <x14:cfRule type="containsText" priority="7525" operator="containsText" id="{F1166B93-3813-4479-80D2-FE146D584AF7}">
            <xm:f>NOT(ISERROR(SEARCH($Q$12,T302)))</xm:f>
            <xm:f>$Q$12</xm:f>
            <x14:dxf>
              <fill>
                <patternFill>
                  <bgColor theme="9"/>
                </patternFill>
              </fill>
            </x14:dxf>
          </x14:cfRule>
          <x14:cfRule type="containsText" priority="7526" operator="containsText" id="{3876DBC8-A400-43EA-97AC-B4EAD1ECA24E}">
            <xm:f>NOT(ISERROR(SEARCH($Q$12,T302)))</xm:f>
            <xm:f>$Q$12</xm:f>
            <x14:dxf>
              <fill>
                <patternFill>
                  <bgColor rgb="FFFFFF00"/>
                </patternFill>
              </fill>
            </x14:dxf>
          </x14:cfRule>
          <x14:cfRule type="containsText" priority="7527" operator="containsText" id="{C57B2BEA-5772-4447-BB8D-CBF3FEB11F51}">
            <xm:f>NOT(ISERROR(SEARCH($Q$12,T302)))</xm:f>
            <xm:f>$Q$12</xm:f>
            <x14:dxf>
              <fill>
                <patternFill>
                  <bgColor rgb="FFFFC000"/>
                </patternFill>
              </fill>
            </x14:dxf>
          </x14:cfRule>
          <x14:cfRule type="containsText" priority="7528" operator="containsText" id="{4D94C591-080E-4647-8510-AC5D5EC65DBC}">
            <xm:f>NOT(ISERROR(SEARCH($Q$12,T302)))</xm:f>
            <xm:f>$Q$12</xm:f>
            <x14:dxf>
              <fill>
                <patternFill>
                  <bgColor rgb="FFFF0000"/>
                </patternFill>
              </fill>
            </x14:dxf>
          </x14:cfRule>
          <x14:cfRule type="containsText" priority="7517" operator="containsText" id="{F1252258-CC65-4981-A38E-AB5083BE1E78}">
            <xm:f>NOT(ISERROR(SEARCH($Q$12,T302)))</xm:f>
            <xm:f>$Q$12</xm:f>
            <x14:dxf>
              <fill>
                <patternFill>
                  <bgColor theme="9" tint="0.79998168889431442"/>
                </patternFill>
              </fill>
            </x14:dxf>
          </x14:cfRule>
          <xm:sqref>T302</xm:sqref>
        </x14:conditionalFormatting>
        <x14:conditionalFormatting xmlns:xm="http://schemas.microsoft.com/office/excel/2006/main">
          <x14:cfRule type="containsText" priority="12363" operator="containsText" id="{55B469C6-3BEE-479E-827E-12D1E6D8AFAD}">
            <xm:f>NOT(ISERROR(SEARCH($Q$12,T312)))</xm:f>
            <xm:f>$Q$12</xm:f>
            <x14:dxf>
              <fill>
                <patternFill>
                  <bgColor theme="9" tint="0.39994506668294322"/>
                </patternFill>
              </fill>
            </x14:dxf>
          </x14:cfRule>
          <x14:cfRule type="containsText" priority="12364" operator="containsText" id="{6C88FE53-B842-4E78-ABD1-F8724A9101E8}">
            <xm:f>NOT(ISERROR(SEARCH($Q$12,T312)))</xm:f>
            <xm:f>$Q$12</xm:f>
            <x14:dxf>
              <fill>
                <patternFill>
                  <bgColor rgb="FF00B050"/>
                </patternFill>
              </fill>
            </x14:dxf>
          </x14:cfRule>
          <x14:cfRule type="containsText" priority="12365" operator="containsText" id="{F87A06A9-4F74-421F-844D-107FBED3E220}">
            <xm:f>NOT(ISERROR(SEARCH($Q$12,T312)))</xm:f>
            <xm:f>$Q$12</xm:f>
            <x14:dxf/>
          </x14:cfRule>
          <x14:cfRule type="containsText" priority="12366" operator="containsText" id="{9AB7EED9-1383-43F9-98F9-61D69CB632D3}">
            <xm:f>NOT(ISERROR(SEARCH($Q$12,T312)))</xm:f>
            <xm:f>$Q$12</xm:f>
            <x14:dxf>
              <fill>
                <patternFill>
                  <bgColor rgb="FFFFFF00"/>
                </patternFill>
              </fill>
            </x14:dxf>
          </x14:cfRule>
          <x14:cfRule type="containsText" priority="12367" operator="containsText" id="{4F640B9B-9CF0-4476-9D06-2D2CCB26EDE5}">
            <xm:f>NOT(ISERROR(SEARCH($Q$12,T312)))</xm:f>
            <xm:f>$Q$12</xm:f>
            <x14:dxf>
              <fill>
                <patternFill>
                  <bgColor rgb="FFFFC000"/>
                </patternFill>
              </fill>
            </x14:dxf>
          </x14:cfRule>
          <x14:cfRule type="containsText" priority="12368" operator="containsText" id="{6A34167B-9C5F-4CB3-B2B7-8016FC821CBC}">
            <xm:f>NOT(ISERROR(SEARCH($Q$12,T312)))</xm:f>
            <xm:f>$Q$12</xm:f>
            <x14:dxf>
              <fill>
                <patternFill>
                  <bgColor rgb="FFFF0000"/>
                </patternFill>
              </fill>
            </x14:dxf>
          </x14:cfRule>
          <x14:cfRule type="containsText" priority="12369" operator="containsText" id="{589106CF-CB72-4A8D-8CE2-CA7EDED3127C}">
            <xm:f>NOT(ISERROR(SEARCH($Q$12,T312)))</xm:f>
            <xm:f>$Q$12</xm:f>
            <x14:dxf>
              <fill>
                <patternFill>
                  <bgColor theme="9" tint="0.59996337778862885"/>
                </patternFill>
              </fill>
            </x14:dxf>
          </x14:cfRule>
          <x14:cfRule type="containsText" priority="12370" operator="containsText" id="{6D2A2DF6-E1E9-4C6E-9238-73E9B000B2C2}">
            <xm:f>NOT(ISERROR(SEARCH($Q$12,T312)))</xm:f>
            <xm:f>$Q$12</xm:f>
            <x14:dxf>
              <fill>
                <patternFill>
                  <bgColor theme="9"/>
                </patternFill>
              </fill>
            </x14:dxf>
          </x14:cfRule>
          <x14:cfRule type="containsText" priority="12371" operator="containsText" id="{A0A92786-BF6A-4B5B-BCF5-E17705C7D306}">
            <xm:f>NOT(ISERROR(SEARCH($Q$12,T312)))</xm:f>
            <xm:f>$Q$12</xm:f>
            <x14:dxf>
              <fill>
                <patternFill>
                  <bgColor rgb="FFFFFF00"/>
                </patternFill>
              </fill>
            </x14:dxf>
          </x14:cfRule>
          <x14:cfRule type="containsText" priority="12372" operator="containsText" id="{40F68661-618C-46CB-8E00-83809D39C1EA}">
            <xm:f>NOT(ISERROR(SEARCH($Q$12,T312)))</xm:f>
            <xm:f>$Q$12</xm:f>
            <x14:dxf>
              <fill>
                <patternFill>
                  <bgColor rgb="FFFFC000"/>
                </patternFill>
              </fill>
            </x14:dxf>
          </x14:cfRule>
          <x14:cfRule type="containsText" priority="12373" operator="containsText" id="{0846C55E-1015-431E-B52D-A2AC57509EA1}">
            <xm:f>NOT(ISERROR(SEARCH($Q$12,T312)))</xm:f>
            <xm:f>$Q$12</xm:f>
            <x14:dxf>
              <fill>
                <patternFill>
                  <bgColor rgb="FFFF0000"/>
                </patternFill>
              </fill>
            </x14:dxf>
          </x14:cfRule>
          <x14:cfRule type="containsText" priority="12361" operator="containsText" id="{0EAA7D11-B51C-4999-BE97-9ADA8592F18A}">
            <xm:f>NOT(ISERROR(SEARCH($Q$12,T312)))</xm:f>
            <xm:f>$Q$12</xm:f>
            <x14:dxf>
              <fill>
                <patternFill>
                  <bgColor rgb="FFFFFF00"/>
                </patternFill>
              </fill>
            </x14:dxf>
          </x14:cfRule>
          <x14:cfRule type="containsText" priority="12362" operator="containsText" id="{4DBEBA7F-8CFC-4DEF-B75F-EE00ACEC103E}">
            <xm:f>NOT(ISERROR(SEARCH($Q$12,T312)))</xm:f>
            <xm:f>$Q$12</xm:f>
            <x14:dxf>
              <fill>
                <patternFill>
                  <bgColor theme="9" tint="0.79998168889431442"/>
                </patternFill>
              </fill>
            </x14:dxf>
          </x14:cfRule>
          <xm:sqref>T312 T502 T552 T562 T582 T612 T652 T662 T722 T812 T882 T962 T972 T1002</xm:sqref>
        </x14:conditionalFormatting>
        <x14:conditionalFormatting xmlns:xm="http://schemas.microsoft.com/office/excel/2006/main">
          <x14:cfRule type="containsText" priority="6876" operator="containsText" id="{19983EDC-59ED-4C0A-81A4-877F2B15480A}">
            <xm:f>NOT(ISERROR(SEARCH($Q$12,T342)))</xm:f>
            <xm:f>$Q$12</xm:f>
            <x14:dxf>
              <fill>
                <patternFill>
                  <bgColor theme="9" tint="0.39994506668294322"/>
                </patternFill>
              </fill>
            </x14:dxf>
          </x14:cfRule>
          <x14:cfRule type="containsText" priority="6878" operator="containsText" id="{0F89C0F4-C400-4244-9244-3B2A1E60AA88}">
            <xm:f>NOT(ISERROR(SEARCH($Q$12,T342)))</xm:f>
            <xm:f>$Q$12</xm:f>
            <x14:dxf/>
          </x14:cfRule>
          <x14:cfRule type="containsText" priority="6874" operator="containsText" id="{0D14FD6C-2787-4957-B40D-3BFFC82F0E7F}">
            <xm:f>NOT(ISERROR(SEARCH($Q$12,T342)))</xm:f>
            <xm:f>$Q$12</xm:f>
            <x14:dxf>
              <fill>
                <patternFill>
                  <bgColor rgb="FFFFFF00"/>
                </patternFill>
              </fill>
            </x14:dxf>
          </x14:cfRule>
          <x14:cfRule type="containsText" priority="6883" operator="containsText" id="{C84053E2-C3CE-492E-9C30-83C7EDB0648D}">
            <xm:f>NOT(ISERROR(SEARCH($Q$12,T342)))</xm:f>
            <xm:f>$Q$12</xm:f>
            <x14:dxf>
              <fill>
                <patternFill>
                  <bgColor theme="9"/>
                </patternFill>
              </fill>
            </x14:dxf>
          </x14:cfRule>
          <x14:cfRule type="containsText" priority="6884" operator="containsText" id="{CD20888B-8500-4BB3-A8E0-37AA94446195}">
            <xm:f>NOT(ISERROR(SEARCH($Q$12,T342)))</xm:f>
            <xm:f>$Q$12</xm:f>
            <x14:dxf>
              <fill>
                <patternFill>
                  <bgColor rgb="FFFFFF00"/>
                </patternFill>
              </fill>
            </x14:dxf>
          </x14:cfRule>
          <x14:cfRule type="containsText" priority="6881" operator="containsText" id="{C5558CE0-064E-4C34-9045-A321409CB11C}">
            <xm:f>NOT(ISERROR(SEARCH($Q$12,T342)))</xm:f>
            <xm:f>$Q$12</xm:f>
            <x14:dxf>
              <fill>
                <patternFill>
                  <bgColor rgb="FFFF0000"/>
                </patternFill>
              </fill>
            </x14:dxf>
          </x14:cfRule>
          <x14:cfRule type="containsText" priority="6880" operator="containsText" id="{D3AB41B2-8BBC-4709-A7AD-849DF66EBC1A}">
            <xm:f>NOT(ISERROR(SEARCH($Q$12,T342)))</xm:f>
            <xm:f>$Q$12</xm:f>
            <x14:dxf>
              <fill>
                <patternFill>
                  <bgColor rgb="FFFFC000"/>
                </patternFill>
              </fill>
            </x14:dxf>
          </x14:cfRule>
          <x14:cfRule type="containsText" priority="6879" operator="containsText" id="{80B1D86F-D13B-4086-9192-B7A7D0D00560}">
            <xm:f>NOT(ISERROR(SEARCH($Q$12,T342)))</xm:f>
            <xm:f>$Q$12</xm:f>
            <x14:dxf>
              <fill>
                <patternFill>
                  <bgColor rgb="FFFFFF00"/>
                </patternFill>
              </fill>
            </x14:dxf>
          </x14:cfRule>
          <x14:cfRule type="containsText" priority="6885" operator="containsText" id="{662B064D-4FC2-4A36-B552-DD326522CC1C}">
            <xm:f>NOT(ISERROR(SEARCH($Q$12,T342)))</xm:f>
            <xm:f>$Q$12</xm:f>
            <x14:dxf>
              <fill>
                <patternFill>
                  <bgColor rgb="FFFFC000"/>
                </patternFill>
              </fill>
            </x14:dxf>
          </x14:cfRule>
          <x14:cfRule type="containsText" priority="6882" operator="containsText" id="{44663BE7-8939-4821-80C8-339720F92D9C}">
            <xm:f>NOT(ISERROR(SEARCH($Q$12,T342)))</xm:f>
            <xm:f>$Q$12</xm:f>
            <x14:dxf>
              <fill>
                <patternFill>
                  <bgColor theme="9" tint="0.59996337778862885"/>
                </patternFill>
              </fill>
            </x14:dxf>
          </x14:cfRule>
          <x14:cfRule type="containsText" priority="6886" operator="containsText" id="{AA6B4C5A-75E2-4991-B07E-2638AA58390D}">
            <xm:f>NOT(ISERROR(SEARCH($Q$12,T342)))</xm:f>
            <xm:f>$Q$12</xm:f>
            <x14:dxf>
              <fill>
                <patternFill>
                  <bgColor rgb="FFFF0000"/>
                </patternFill>
              </fill>
            </x14:dxf>
          </x14:cfRule>
          <x14:cfRule type="containsText" priority="6877" operator="containsText" id="{D5E7C2CF-7ECF-4E41-A4CF-88B93535D9BA}">
            <xm:f>NOT(ISERROR(SEARCH($Q$12,T342)))</xm:f>
            <xm:f>$Q$12</xm:f>
            <x14:dxf>
              <fill>
                <patternFill>
                  <bgColor rgb="FF00B050"/>
                </patternFill>
              </fill>
            </x14:dxf>
          </x14:cfRule>
          <x14:cfRule type="containsText" priority="6875" operator="containsText" id="{4F5A5028-CC84-4757-A588-0CFB309D8D27}">
            <xm:f>NOT(ISERROR(SEARCH($Q$12,T342)))</xm:f>
            <xm:f>$Q$12</xm:f>
            <x14:dxf>
              <fill>
                <patternFill>
                  <bgColor theme="9" tint="0.79998168889431442"/>
                </patternFill>
              </fill>
            </x14:dxf>
          </x14:cfRule>
          <xm:sqref>T342</xm:sqref>
        </x14:conditionalFormatting>
        <x14:conditionalFormatting xmlns:xm="http://schemas.microsoft.com/office/excel/2006/main">
          <x14:cfRule type="containsText" priority="6832" operator="containsText" id="{9771B19B-9E03-47BF-996D-2E2F7A044644}">
            <xm:f>NOT(ISERROR(SEARCH($Q$12,T352)))</xm:f>
            <xm:f>$Q$12</xm:f>
            <x14:dxf>
              <fill>
                <patternFill>
                  <bgColor rgb="FFFFC000"/>
                </patternFill>
              </fill>
            </x14:dxf>
          </x14:cfRule>
          <x14:cfRule type="containsText" priority="6831" operator="containsText" id="{2138E417-313A-4180-BF5F-57D3D56294B6}">
            <xm:f>NOT(ISERROR(SEARCH($Q$12,T352)))</xm:f>
            <xm:f>$Q$12</xm:f>
            <x14:dxf>
              <fill>
                <patternFill>
                  <bgColor rgb="FFFFFF00"/>
                </patternFill>
              </fill>
            </x14:dxf>
          </x14:cfRule>
          <x14:cfRule type="containsText" priority="6830" operator="containsText" id="{A8800164-36E4-4252-93C0-7834B3C8A024}">
            <xm:f>NOT(ISERROR(SEARCH($Q$12,T352)))</xm:f>
            <xm:f>$Q$12</xm:f>
            <x14:dxf/>
          </x14:cfRule>
          <x14:cfRule type="containsText" priority="6829" operator="containsText" id="{0666ADEA-5626-48C5-B004-7BF2747EE79A}">
            <xm:f>NOT(ISERROR(SEARCH($Q$12,T352)))</xm:f>
            <xm:f>$Q$12</xm:f>
            <x14:dxf>
              <fill>
                <patternFill>
                  <bgColor rgb="FF00B050"/>
                </patternFill>
              </fill>
            </x14:dxf>
          </x14:cfRule>
          <x14:cfRule type="containsText" priority="6828" operator="containsText" id="{9316D150-7D51-4910-97B8-5319858683A0}">
            <xm:f>NOT(ISERROR(SEARCH($Q$12,T352)))</xm:f>
            <xm:f>$Q$12</xm:f>
            <x14:dxf>
              <fill>
                <patternFill>
                  <bgColor theme="9" tint="0.39994506668294322"/>
                </patternFill>
              </fill>
            </x14:dxf>
          </x14:cfRule>
          <x14:cfRule type="containsText" priority="6827" operator="containsText" id="{333813D8-31A4-4939-8116-47C149360CD4}">
            <xm:f>NOT(ISERROR(SEARCH($Q$12,T352)))</xm:f>
            <xm:f>$Q$12</xm:f>
            <x14:dxf>
              <fill>
                <patternFill>
                  <bgColor theme="9" tint="0.79998168889431442"/>
                </patternFill>
              </fill>
            </x14:dxf>
          </x14:cfRule>
          <x14:cfRule type="containsText" priority="6833" operator="containsText" id="{FEB38268-2AA9-4528-BC76-397FCE4D72F7}">
            <xm:f>NOT(ISERROR(SEARCH($Q$12,T352)))</xm:f>
            <xm:f>$Q$12</xm:f>
            <x14:dxf>
              <fill>
                <patternFill>
                  <bgColor rgb="FFFF0000"/>
                </patternFill>
              </fill>
            </x14:dxf>
          </x14:cfRule>
          <x14:cfRule type="containsText" priority="6834" operator="containsText" id="{95D0403E-D509-4C81-B9FC-2FE5602E2EB2}">
            <xm:f>NOT(ISERROR(SEARCH($Q$12,T352)))</xm:f>
            <xm:f>$Q$12</xm:f>
            <x14:dxf>
              <fill>
                <patternFill>
                  <bgColor theme="9" tint="0.59996337778862885"/>
                </patternFill>
              </fill>
            </x14:dxf>
          </x14:cfRule>
          <x14:cfRule type="containsText" priority="6835" operator="containsText" id="{FF4734C1-90A3-4570-AC52-4CFBF981DE84}">
            <xm:f>NOT(ISERROR(SEARCH($Q$12,T352)))</xm:f>
            <xm:f>$Q$12</xm:f>
            <x14:dxf>
              <fill>
                <patternFill>
                  <bgColor theme="9"/>
                </patternFill>
              </fill>
            </x14:dxf>
          </x14:cfRule>
          <x14:cfRule type="containsText" priority="6836" operator="containsText" id="{1768DCD6-E918-4B77-8EE7-864492A70112}">
            <xm:f>NOT(ISERROR(SEARCH($Q$12,T352)))</xm:f>
            <xm:f>$Q$12</xm:f>
            <x14:dxf>
              <fill>
                <patternFill>
                  <bgColor rgb="FFFFFF00"/>
                </patternFill>
              </fill>
            </x14:dxf>
          </x14:cfRule>
          <x14:cfRule type="containsText" priority="6837" operator="containsText" id="{BBEF43ED-FD77-404F-81F7-6A58192DAE60}">
            <xm:f>NOT(ISERROR(SEARCH($Q$12,T352)))</xm:f>
            <xm:f>$Q$12</xm:f>
            <x14:dxf>
              <fill>
                <patternFill>
                  <bgColor rgb="FFFFC000"/>
                </patternFill>
              </fill>
            </x14:dxf>
          </x14:cfRule>
          <x14:cfRule type="containsText" priority="6838" operator="containsText" id="{921C0DE1-4B8D-4D65-B350-7AFE4D38A67C}">
            <xm:f>NOT(ISERROR(SEARCH($Q$12,T352)))</xm:f>
            <xm:f>$Q$12</xm:f>
            <x14:dxf>
              <fill>
                <patternFill>
                  <bgColor rgb="FFFF0000"/>
                </patternFill>
              </fill>
            </x14:dxf>
          </x14:cfRule>
          <x14:cfRule type="containsText" priority="6826" operator="containsText" id="{47D7BFDA-6A49-4EC8-874D-EC1DA9197D02}">
            <xm:f>NOT(ISERROR(SEARCH($Q$12,T352)))</xm:f>
            <xm:f>$Q$12</xm:f>
            <x14:dxf>
              <fill>
                <patternFill>
                  <bgColor rgb="FFFFFF00"/>
                </patternFill>
              </fill>
            </x14:dxf>
          </x14:cfRule>
          <xm:sqref>T352</xm:sqref>
        </x14:conditionalFormatting>
        <x14:conditionalFormatting xmlns:xm="http://schemas.microsoft.com/office/excel/2006/main">
          <x14:cfRule type="containsText" priority="6478" operator="containsText" id="{D07590B2-8AAB-4F2F-8138-83463F1F44C0}">
            <xm:f>NOT(ISERROR(SEARCH($Q$12,T382)))</xm:f>
            <xm:f>$Q$12</xm:f>
            <x14:dxf>
              <fill>
                <patternFill>
                  <bgColor theme="9" tint="0.39994506668294322"/>
                </patternFill>
              </fill>
            </x14:dxf>
          </x14:cfRule>
          <x14:cfRule type="containsText" priority="6480" operator="containsText" id="{B3412AAB-F8EB-441E-BE0B-4327B4A87AF0}">
            <xm:f>NOT(ISERROR(SEARCH($Q$12,T382)))</xm:f>
            <xm:f>$Q$12</xm:f>
            <x14:dxf/>
          </x14:cfRule>
          <x14:cfRule type="containsText" priority="6481" operator="containsText" id="{33185A10-2949-48A8-AD54-5F5F3E45DC37}">
            <xm:f>NOT(ISERROR(SEARCH($Q$12,T382)))</xm:f>
            <xm:f>$Q$12</xm:f>
            <x14:dxf>
              <fill>
                <patternFill>
                  <bgColor rgb="FFFFFF00"/>
                </patternFill>
              </fill>
            </x14:dxf>
          </x14:cfRule>
          <x14:cfRule type="containsText" priority="6482" operator="containsText" id="{5A2CC2C3-C211-4122-B8ED-388B49C10C24}">
            <xm:f>NOT(ISERROR(SEARCH($Q$12,T382)))</xm:f>
            <xm:f>$Q$12</xm:f>
            <x14:dxf>
              <fill>
                <patternFill>
                  <bgColor rgb="FFFFC000"/>
                </patternFill>
              </fill>
            </x14:dxf>
          </x14:cfRule>
          <x14:cfRule type="containsText" priority="6483" operator="containsText" id="{02A00BC0-D3FF-4481-A9CD-E8C3683A4A54}">
            <xm:f>NOT(ISERROR(SEARCH($Q$12,T382)))</xm:f>
            <xm:f>$Q$12</xm:f>
            <x14:dxf>
              <fill>
                <patternFill>
                  <bgColor rgb="FFFF0000"/>
                </patternFill>
              </fill>
            </x14:dxf>
          </x14:cfRule>
          <x14:cfRule type="containsText" priority="6484" operator="containsText" id="{DE00EC6C-B52A-4C67-B428-B2DBEFF0BDCF}">
            <xm:f>NOT(ISERROR(SEARCH($Q$12,T382)))</xm:f>
            <xm:f>$Q$12</xm:f>
            <x14:dxf>
              <fill>
                <patternFill>
                  <bgColor theme="9" tint="0.59996337778862885"/>
                </patternFill>
              </fill>
            </x14:dxf>
          </x14:cfRule>
          <x14:cfRule type="containsText" priority="6485" operator="containsText" id="{6EFF7BBA-2BA2-42B6-919D-0DCDED16F375}">
            <xm:f>NOT(ISERROR(SEARCH($Q$12,T382)))</xm:f>
            <xm:f>$Q$12</xm:f>
            <x14:dxf>
              <fill>
                <patternFill>
                  <bgColor theme="9"/>
                </patternFill>
              </fill>
            </x14:dxf>
          </x14:cfRule>
          <x14:cfRule type="containsText" priority="6486" operator="containsText" id="{41510163-3535-4B9D-B8AF-E8F45CEAB6CA}">
            <xm:f>NOT(ISERROR(SEARCH($Q$12,T382)))</xm:f>
            <xm:f>$Q$12</xm:f>
            <x14:dxf>
              <fill>
                <patternFill>
                  <bgColor rgb="FFFFFF00"/>
                </patternFill>
              </fill>
            </x14:dxf>
          </x14:cfRule>
          <x14:cfRule type="containsText" priority="6487" operator="containsText" id="{999204D7-01F6-4024-A0A9-8D00C782C421}">
            <xm:f>NOT(ISERROR(SEARCH($Q$12,T382)))</xm:f>
            <xm:f>$Q$12</xm:f>
            <x14:dxf>
              <fill>
                <patternFill>
                  <bgColor rgb="FFFFC000"/>
                </patternFill>
              </fill>
            </x14:dxf>
          </x14:cfRule>
          <x14:cfRule type="containsText" priority="6488" operator="containsText" id="{72CD884C-6E11-4013-A3AC-07AB3BF1BFAB}">
            <xm:f>NOT(ISERROR(SEARCH($Q$12,T382)))</xm:f>
            <xm:f>$Q$12</xm:f>
            <x14:dxf>
              <fill>
                <patternFill>
                  <bgColor rgb="FFFF0000"/>
                </patternFill>
              </fill>
            </x14:dxf>
          </x14:cfRule>
          <x14:cfRule type="containsText" priority="6479" operator="containsText" id="{4F989709-77A6-460D-991E-D5A7FF75D5CE}">
            <xm:f>NOT(ISERROR(SEARCH($Q$12,T382)))</xm:f>
            <xm:f>$Q$12</xm:f>
            <x14:dxf>
              <fill>
                <patternFill>
                  <bgColor rgb="FF00B050"/>
                </patternFill>
              </fill>
            </x14:dxf>
          </x14:cfRule>
          <x14:cfRule type="containsText" priority="6476" operator="containsText" id="{B567CAB3-AE38-4490-8B3E-E4C675CE13BD}">
            <xm:f>NOT(ISERROR(SEARCH($Q$12,T382)))</xm:f>
            <xm:f>$Q$12</xm:f>
            <x14:dxf>
              <fill>
                <patternFill>
                  <bgColor rgb="FFFFFF00"/>
                </patternFill>
              </fill>
            </x14:dxf>
          </x14:cfRule>
          <x14:cfRule type="containsText" priority="6477" operator="containsText" id="{C85E75CE-A76A-4FBF-808B-F7FB9192EB27}">
            <xm:f>NOT(ISERROR(SEARCH($Q$12,T382)))</xm:f>
            <xm:f>$Q$12</xm:f>
            <x14:dxf>
              <fill>
                <patternFill>
                  <bgColor theme="9" tint="0.79998168889431442"/>
                </patternFill>
              </fill>
            </x14:dxf>
          </x14:cfRule>
          <xm:sqref>T382</xm:sqref>
        </x14:conditionalFormatting>
        <x14:conditionalFormatting xmlns:xm="http://schemas.microsoft.com/office/excel/2006/main">
          <x14:cfRule type="containsText" priority="6434" operator="containsText" id="{7FD3C727-CEAB-4B88-A691-085867BCEDEB}">
            <xm:f>NOT(ISERROR(SEARCH($Q$12,T392)))</xm:f>
            <xm:f>$Q$12</xm:f>
            <x14:dxf>
              <fill>
                <patternFill>
                  <bgColor rgb="FFFFC000"/>
                </patternFill>
              </fill>
            </x14:dxf>
          </x14:cfRule>
          <x14:cfRule type="containsText" priority="6431" operator="containsText" id="{B58D2A6B-AEA7-4026-BD60-A7F52C9DF943}">
            <xm:f>NOT(ISERROR(SEARCH($Q$12,T392)))</xm:f>
            <xm:f>$Q$12</xm:f>
            <x14:dxf>
              <fill>
                <patternFill>
                  <bgColor rgb="FF00B050"/>
                </patternFill>
              </fill>
            </x14:dxf>
          </x14:cfRule>
          <x14:cfRule type="containsText" priority="6435" operator="containsText" id="{6158A36C-8C93-44BB-B3C2-F97C1A1660AC}">
            <xm:f>NOT(ISERROR(SEARCH($Q$12,T392)))</xm:f>
            <xm:f>$Q$12</xm:f>
            <x14:dxf>
              <fill>
                <patternFill>
                  <bgColor rgb="FFFF0000"/>
                </patternFill>
              </fill>
            </x14:dxf>
          </x14:cfRule>
          <x14:cfRule type="containsText" priority="6430" operator="containsText" id="{72285D03-05BB-4863-A552-25B1F55BF451}">
            <xm:f>NOT(ISERROR(SEARCH($Q$12,T392)))</xm:f>
            <xm:f>$Q$12</xm:f>
            <x14:dxf>
              <fill>
                <patternFill>
                  <bgColor theme="9" tint="0.39994506668294322"/>
                </patternFill>
              </fill>
            </x14:dxf>
          </x14:cfRule>
          <x14:cfRule type="containsText" priority="6428" operator="containsText" id="{2FE1BEB3-14CB-4947-A4E8-321354414B0D}">
            <xm:f>NOT(ISERROR(SEARCH($Q$12,T392)))</xm:f>
            <xm:f>$Q$12</xm:f>
            <x14:dxf>
              <fill>
                <patternFill>
                  <bgColor rgb="FFFFFF00"/>
                </patternFill>
              </fill>
            </x14:dxf>
          </x14:cfRule>
          <x14:cfRule type="containsText" priority="6429" operator="containsText" id="{7E227A7E-EC1E-4034-B765-8634A7002F4B}">
            <xm:f>NOT(ISERROR(SEARCH($Q$12,T392)))</xm:f>
            <xm:f>$Q$12</xm:f>
            <x14:dxf>
              <fill>
                <patternFill>
                  <bgColor theme="9" tint="0.79998168889431442"/>
                </patternFill>
              </fill>
            </x14:dxf>
          </x14:cfRule>
          <x14:cfRule type="containsText" priority="6440" operator="containsText" id="{ACD2D995-55E8-4C1E-AD5C-93559A9146BC}">
            <xm:f>NOT(ISERROR(SEARCH($Q$12,T392)))</xm:f>
            <xm:f>$Q$12</xm:f>
            <x14:dxf>
              <fill>
                <patternFill>
                  <bgColor rgb="FFFF0000"/>
                </patternFill>
              </fill>
            </x14:dxf>
          </x14:cfRule>
          <x14:cfRule type="containsText" priority="6439" operator="containsText" id="{2E3F8E9C-DDD2-40F7-ABDE-D92B78C90BB6}">
            <xm:f>NOT(ISERROR(SEARCH($Q$12,T392)))</xm:f>
            <xm:f>$Q$12</xm:f>
            <x14:dxf>
              <fill>
                <patternFill>
                  <bgColor rgb="FFFFC000"/>
                </patternFill>
              </fill>
            </x14:dxf>
          </x14:cfRule>
          <x14:cfRule type="containsText" priority="6438" operator="containsText" id="{284ABA97-1E26-42EF-9838-A41D4A5759A4}">
            <xm:f>NOT(ISERROR(SEARCH($Q$12,T392)))</xm:f>
            <xm:f>$Q$12</xm:f>
            <x14:dxf>
              <fill>
                <patternFill>
                  <bgColor rgb="FFFFFF00"/>
                </patternFill>
              </fill>
            </x14:dxf>
          </x14:cfRule>
          <x14:cfRule type="containsText" priority="6437" operator="containsText" id="{0D533F77-EB5C-4F71-A1FF-7B988C93C506}">
            <xm:f>NOT(ISERROR(SEARCH($Q$12,T392)))</xm:f>
            <xm:f>$Q$12</xm:f>
            <x14:dxf>
              <fill>
                <patternFill>
                  <bgColor theme="9"/>
                </patternFill>
              </fill>
            </x14:dxf>
          </x14:cfRule>
          <x14:cfRule type="containsText" priority="6436" operator="containsText" id="{456C44EA-5F1C-4763-9579-D5073BFDD330}">
            <xm:f>NOT(ISERROR(SEARCH($Q$12,T392)))</xm:f>
            <xm:f>$Q$12</xm:f>
            <x14:dxf>
              <fill>
                <patternFill>
                  <bgColor theme="9" tint="0.59996337778862885"/>
                </patternFill>
              </fill>
            </x14:dxf>
          </x14:cfRule>
          <x14:cfRule type="containsText" priority="6433" operator="containsText" id="{6D56C368-0058-4CF5-A73B-FA3C9CA5A2E4}">
            <xm:f>NOT(ISERROR(SEARCH($Q$12,T392)))</xm:f>
            <xm:f>$Q$12</xm:f>
            <x14:dxf>
              <fill>
                <patternFill>
                  <bgColor rgb="FFFFFF00"/>
                </patternFill>
              </fill>
            </x14:dxf>
          </x14:cfRule>
          <x14:cfRule type="containsText" priority="6432" operator="containsText" id="{FA2E150D-CD0C-45C1-B234-39DB3ABABF14}">
            <xm:f>NOT(ISERROR(SEARCH($Q$12,T392)))</xm:f>
            <xm:f>$Q$12</xm:f>
            <x14:dxf/>
          </x14:cfRule>
          <xm:sqref>T392</xm:sqref>
        </x14:conditionalFormatting>
        <x14:conditionalFormatting xmlns:xm="http://schemas.microsoft.com/office/excel/2006/main">
          <x14:cfRule type="containsText" priority="5711" operator="containsText" id="{D4B9D826-C198-46E9-81AE-3F669DD4B8A8}">
            <xm:f>NOT(ISERROR(SEARCH($Q$12,T442)))</xm:f>
            <xm:f>$Q$12</xm:f>
            <x14:dxf>
              <fill>
                <patternFill>
                  <bgColor rgb="FFFFFF00"/>
                </patternFill>
              </fill>
            </x14:dxf>
          </x14:cfRule>
          <x14:cfRule type="containsText" priority="5709" operator="containsText" id="{1901EC67-774B-4567-90B3-3A7FC3DBC2BD}">
            <xm:f>NOT(ISERROR(SEARCH($Q$12,T442)))</xm:f>
            <xm:f>$Q$12</xm:f>
            <x14:dxf>
              <fill>
                <patternFill>
                  <bgColor rgb="FF00B050"/>
                </patternFill>
              </fill>
            </x14:dxf>
          </x14:cfRule>
          <x14:cfRule type="containsText" priority="5708" operator="containsText" id="{1675C473-895D-4BAB-8821-6065FAF57B86}">
            <xm:f>NOT(ISERROR(SEARCH($Q$12,T442)))</xm:f>
            <xm:f>$Q$12</xm:f>
            <x14:dxf>
              <fill>
                <patternFill>
                  <bgColor theme="9" tint="0.39994506668294322"/>
                </patternFill>
              </fill>
            </x14:dxf>
          </x14:cfRule>
          <x14:cfRule type="containsText" priority="5707" operator="containsText" id="{99B36744-0321-49F1-9F89-1EE1ADC98599}">
            <xm:f>NOT(ISERROR(SEARCH($Q$12,T442)))</xm:f>
            <xm:f>$Q$12</xm:f>
            <x14:dxf>
              <fill>
                <patternFill>
                  <bgColor theme="9" tint="0.79998168889431442"/>
                </patternFill>
              </fill>
            </x14:dxf>
          </x14:cfRule>
          <x14:cfRule type="containsText" priority="5706" operator="containsText" id="{7059E782-AE97-4DA7-9E64-F79FFF5D47D2}">
            <xm:f>NOT(ISERROR(SEARCH($Q$12,T442)))</xm:f>
            <xm:f>$Q$12</xm:f>
            <x14:dxf>
              <fill>
                <patternFill>
                  <bgColor rgb="FFFFFF00"/>
                </patternFill>
              </fill>
            </x14:dxf>
          </x14:cfRule>
          <x14:cfRule type="containsText" priority="5715" operator="containsText" id="{BF86A2CE-CE62-44E4-9904-147CBBA95DF8}">
            <xm:f>NOT(ISERROR(SEARCH($Q$12,T442)))</xm:f>
            <xm:f>$Q$12</xm:f>
            <x14:dxf>
              <fill>
                <patternFill>
                  <bgColor theme="9"/>
                </patternFill>
              </fill>
            </x14:dxf>
          </x14:cfRule>
          <x14:cfRule type="containsText" priority="5710" operator="containsText" id="{E06E5289-85F6-45FE-98A1-336E73FFF57D}">
            <xm:f>NOT(ISERROR(SEARCH($Q$12,T442)))</xm:f>
            <xm:f>$Q$12</xm:f>
            <x14:dxf/>
          </x14:cfRule>
          <x14:cfRule type="containsText" priority="5718" operator="containsText" id="{570EF34A-1CEF-4CC0-85C4-8A3DB70726DE}">
            <xm:f>NOT(ISERROR(SEARCH($Q$12,T442)))</xm:f>
            <xm:f>$Q$12</xm:f>
            <x14:dxf>
              <fill>
                <patternFill>
                  <bgColor rgb="FFFF0000"/>
                </patternFill>
              </fill>
            </x14:dxf>
          </x14:cfRule>
          <x14:cfRule type="containsText" priority="5713" operator="containsText" id="{71ED51C0-F70F-4BA9-BFB9-D7236F077F72}">
            <xm:f>NOT(ISERROR(SEARCH($Q$12,T442)))</xm:f>
            <xm:f>$Q$12</xm:f>
            <x14:dxf>
              <fill>
                <patternFill>
                  <bgColor rgb="FFFF0000"/>
                </patternFill>
              </fill>
            </x14:dxf>
          </x14:cfRule>
          <x14:cfRule type="containsText" priority="5712" operator="containsText" id="{81F5B6FD-F551-46D8-97C2-73A80CB9EB0E}">
            <xm:f>NOT(ISERROR(SEARCH($Q$12,T442)))</xm:f>
            <xm:f>$Q$12</xm:f>
            <x14:dxf>
              <fill>
                <patternFill>
                  <bgColor rgb="FFFFC000"/>
                </patternFill>
              </fill>
            </x14:dxf>
          </x14:cfRule>
          <x14:cfRule type="containsText" priority="5717" operator="containsText" id="{4355F4A1-CC77-41A2-82F0-B6026AA06DC9}">
            <xm:f>NOT(ISERROR(SEARCH($Q$12,T442)))</xm:f>
            <xm:f>$Q$12</xm:f>
            <x14:dxf>
              <fill>
                <patternFill>
                  <bgColor rgb="FFFFC000"/>
                </patternFill>
              </fill>
            </x14:dxf>
          </x14:cfRule>
          <x14:cfRule type="containsText" priority="5716" operator="containsText" id="{22D92072-E2CD-4CB4-AC78-31EF59858A33}">
            <xm:f>NOT(ISERROR(SEARCH($Q$12,T442)))</xm:f>
            <xm:f>$Q$12</xm:f>
            <x14:dxf>
              <fill>
                <patternFill>
                  <bgColor rgb="FFFFFF00"/>
                </patternFill>
              </fill>
            </x14:dxf>
          </x14:cfRule>
          <x14:cfRule type="containsText" priority="5714" operator="containsText" id="{ED7C29C3-085D-4688-A646-66F0DEFA065A}">
            <xm:f>NOT(ISERROR(SEARCH($Q$12,T442)))</xm:f>
            <xm:f>$Q$12</xm:f>
            <x14:dxf>
              <fill>
                <patternFill>
                  <bgColor theme="9" tint="0.59996337778862885"/>
                </patternFill>
              </fill>
            </x14:dxf>
          </x14:cfRule>
          <xm:sqref>T442</xm:sqref>
        </x14:conditionalFormatting>
        <x14:conditionalFormatting xmlns:xm="http://schemas.microsoft.com/office/excel/2006/main">
          <x14:cfRule type="containsText" priority="5658" operator="containsText" id="{34EA6F7E-F478-47E3-AFEB-FEA1CEF70CF8}">
            <xm:f>NOT(ISERROR(SEARCH($Q$12,T452)))</xm:f>
            <xm:f>$Q$12</xm:f>
            <x14:dxf>
              <fill>
                <patternFill>
                  <bgColor rgb="FFFFFF00"/>
                </patternFill>
              </fill>
            </x14:dxf>
          </x14:cfRule>
          <x14:cfRule type="containsText" priority="5659" operator="containsText" id="{A04DFD57-D169-4121-AB7B-DA60D10F13EC}">
            <xm:f>NOT(ISERROR(SEARCH($Q$12,T452)))</xm:f>
            <xm:f>$Q$12</xm:f>
            <x14:dxf>
              <fill>
                <patternFill>
                  <bgColor theme="9" tint="0.79998168889431442"/>
                </patternFill>
              </fill>
            </x14:dxf>
          </x14:cfRule>
          <x14:cfRule type="containsText" priority="5660" operator="containsText" id="{F4983B7C-F954-443C-81EF-91A2AE789499}">
            <xm:f>NOT(ISERROR(SEARCH($Q$12,T452)))</xm:f>
            <xm:f>$Q$12</xm:f>
            <x14:dxf>
              <fill>
                <patternFill>
                  <bgColor theme="9" tint="0.39994506668294322"/>
                </patternFill>
              </fill>
            </x14:dxf>
          </x14:cfRule>
          <x14:cfRule type="containsText" priority="5661" operator="containsText" id="{38E29099-4C6D-4E22-BEA6-CED9DAF80729}">
            <xm:f>NOT(ISERROR(SEARCH($Q$12,T452)))</xm:f>
            <xm:f>$Q$12</xm:f>
            <x14:dxf>
              <fill>
                <patternFill>
                  <bgColor rgb="FF00B050"/>
                </patternFill>
              </fill>
            </x14:dxf>
          </x14:cfRule>
          <x14:cfRule type="containsText" priority="5662" operator="containsText" id="{6EF4EB6E-8D59-440B-A75F-3A76D5F58E4D}">
            <xm:f>NOT(ISERROR(SEARCH($Q$12,T452)))</xm:f>
            <xm:f>$Q$12</xm:f>
            <x14:dxf/>
          </x14:cfRule>
          <x14:cfRule type="containsText" priority="5663" operator="containsText" id="{4FB39973-3114-47D7-90EC-72D188271C5D}">
            <xm:f>NOT(ISERROR(SEARCH($Q$12,T452)))</xm:f>
            <xm:f>$Q$12</xm:f>
            <x14:dxf>
              <fill>
                <patternFill>
                  <bgColor rgb="FFFFFF00"/>
                </patternFill>
              </fill>
            </x14:dxf>
          </x14:cfRule>
          <x14:cfRule type="containsText" priority="5664" operator="containsText" id="{649405D1-6331-499C-91AB-BE774FB9777E}">
            <xm:f>NOT(ISERROR(SEARCH($Q$12,T452)))</xm:f>
            <xm:f>$Q$12</xm:f>
            <x14:dxf>
              <fill>
                <patternFill>
                  <bgColor rgb="FFFFC000"/>
                </patternFill>
              </fill>
            </x14:dxf>
          </x14:cfRule>
          <x14:cfRule type="containsText" priority="5665" operator="containsText" id="{F5B79D6A-F432-4FFA-8029-39D5D65356FD}">
            <xm:f>NOT(ISERROR(SEARCH($Q$12,T452)))</xm:f>
            <xm:f>$Q$12</xm:f>
            <x14:dxf>
              <fill>
                <patternFill>
                  <bgColor rgb="FFFF0000"/>
                </patternFill>
              </fill>
            </x14:dxf>
          </x14:cfRule>
          <x14:cfRule type="containsText" priority="5666" operator="containsText" id="{D6344F43-FC66-4E09-9A13-01C44D7AF645}">
            <xm:f>NOT(ISERROR(SEARCH($Q$12,T452)))</xm:f>
            <xm:f>$Q$12</xm:f>
            <x14:dxf>
              <fill>
                <patternFill>
                  <bgColor theme="9" tint="0.59996337778862885"/>
                </patternFill>
              </fill>
            </x14:dxf>
          </x14:cfRule>
          <x14:cfRule type="containsText" priority="5667" operator="containsText" id="{ADC292B6-70F0-4DB1-A060-BAE1CD8D76A7}">
            <xm:f>NOT(ISERROR(SEARCH($Q$12,T452)))</xm:f>
            <xm:f>$Q$12</xm:f>
            <x14:dxf>
              <fill>
                <patternFill>
                  <bgColor theme="9"/>
                </patternFill>
              </fill>
            </x14:dxf>
          </x14:cfRule>
          <x14:cfRule type="containsText" priority="5669" operator="containsText" id="{CAA4429D-7315-44C4-95F7-FD0353478550}">
            <xm:f>NOT(ISERROR(SEARCH($Q$12,T452)))</xm:f>
            <xm:f>$Q$12</xm:f>
            <x14:dxf>
              <fill>
                <patternFill>
                  <bgColor rgb="FFFFC000"/>
                </patternFill>
              </fill>
            </x14:dxf>
          </x14:cfRule>
          <x14:cfRule type="containsText" priority="5670" operator="containsText" id="{EB39B788-7F92-42AD-80F6-640F92A5A7A7}">
            <xm:f>NOT(ISERROR(SEARCH($Q$12,T452)))</xm:f>
            <xm:f>$Q$12</xm:f>
            <x14:dxf>
              <fill>
                <patternFill>
                  <bgColor rgb="FFFF0000"/>
                </patternFill>
              </fill>
            </x14:dxf>
          </x14:cfRule>
          <x14:cfRule type="containsText" priority="5668" operator="containsText" id="{324B1A1D-C906-4727-A82A-19F950141391}">
            <xm:f>NOT(ISERROR(SEARCH($Q$12,T452)))</xm:f>
            <xm:f>$Q$12</xm:f>
            <x14:dxf>
              <fill>
                <patternFill>
                  <bgColor rgb="FFFFFF00"/>
                </patternFill>
              </fill>
            </x14:dxf>
          </x14:cfRule>
          <xm:sqref>T452</xm:sqref>
        </x14:conditionalFormatting>
        <x14:conditionalFormatting xmlns:xm="http://schemas.microsoft.com/office/excel/2006/main">
          <x14:cfRule type="containsText" priority="5620" operator="containsText" id="{11DB1AC6-F197-494C-B971-604BA36C6790}">
            <xm:f>NOT(ISERROR(SEARCH($Q$12,T462)))</xm:f>
            <xm:f>$Q$12</xm:f>
            <x14:dxf>
              <fill>
                <patternFill>
                  <bgColor rgb="FFFFFF00"/>
                </patternFill>
              </fill>
            </x14:dxf>
          </x14:cfRule>
          <x14:cfRule type="containsText" priority="5619" operator="containsText" id="{24563923-392F-4BCD-9CB8-20C8F39230B5}">
            <xm:f>NOT(ISERROR(SEARCH($Q$12,T462)))</xm:f>
            <xm:f>$Q$12</xm:f>
            <x14:dxf>
              <fill>
                <patternFill>
                  <bgColor theme="9"/>
                </patternFill>
              </fill>
            </x14:dxf>
          </x14:cfRule>
          <x14:cfRule type="containsText" priority="5618" operator="containsText" id="{6BEC1CAA-AFA1-442E-B85C-FF3D4DB82E13}">
            <xm:f>NOT(ISERROR(SEARCH($Q$12,T462)))</xm:f>
            <xm:f>$Q$12</xm:f>
            <x14:dxf>
              <fill>
                <patternFill>
                  <bgColor theme="9" tint="0.59996337778862885"/>
                </patternFill>
              </fill>
            </x14:dxf>
          </x14:cfRule>
          <x14:cfRule type="containsText" priority="5617" operator="containsText" id="{3B3E4501-C52C-4D12-BFF6-9FF4909C67C2}">
            <xm:f>NOT(ISERROR(SEARCH($Q$12,T462)))</xm:f>
            <xm:f>$Q$12</xm:f>
            <x14:dxf>
              <fill>
                <patternFill>
                  <bgColor rgb="FFFF0000"/>
                </patternFill>
              </fill>
            </x14:dxf>
          </x14:cfRule>
          <x14:cfRule type="containsText" priority="5616" operator="containsText" id="{A8B4D98A-5068-4EA1-9CD3-4984B3BBFFA8}">
            <xm:f>NOT(ISERROR(SEARCH($Q$12,T462)))</xm:f>
            <xm:f>$Q$12</xm:f>
            <x14:dxf>
              <fill>
                <patternFill>
                  <bgColor rgb="FFFFC000"/>
                </patternFill>
              </fill>
            </x14:dxf>
          </x14:cfRule>
          <x14:cfRule type="containsText" priority="5615" operator="containsText" id="{60D4C58C-2C65-4FA4-9014-7EEB4D9E3A93}">
            <xm:f>NOT(ISERROR(SEARCH($Q$12,T462)))</xm:f>
            <xm:f>$Q$12</xm:f>
            <x14:dxf>
              <fill>
                <patternFill>
                  <bgColor rgb="FFFFFF00"/>
                </patternFill>
              </fill>
            </x14:dxf>
          </x14:cfRule>
          <x14:cfRule type="containsText" priority="5614" operator="containsText" id="{3C0B0D2F-E9FB-4487-9277-1D42AB785759}">
            <xm:f>NOT(ISERROR(SEARCH($Q$12,T462)))</xm:f>
            <xm:f>$Q$12</xm:f>
            <x14:dxf/>
          </x14:cfRule>
          <x14:cfRule type="containsText" priority="5613" operator="containsText" id="{EE6C5BFE-F5D2-4E7A-BF8D-0C385157F149}">
            <xm:f>NOT(ISERROR(SEARCH($Q$12,T462)))</xm:f>
            <xm:f>$Q$12</xm:f>
            <x14:dxf>
              <fill>
                <patternFill>
                  <bgColor rgb="FF00B050"/>
                </patternFill>
              </fill>
            </x14:dxf>
          </x14:cfRule>
          <x14:cfRule type="containsText" priority="5612" operator="containsText" id="{6B3606A4-1263-42A2-BAD0-0FD93A4F59A3}">
            <xm:f>NOT(ISERROR(SEARCH($Q$12,T462)))</xm:f>
            <xm:f>$Q$12</xm:f>
            <x14:dxf>
              <fill>
                <patternFill>
                  <bgColor theme="9" tint="0.39994506668294322"/>
                </patternFill>
              </fill>
            </x14:dxf>
          </x14:cfRule>
          <x14:cfRule type="containsText" priority="5611" operator="containsText" id="{694EDC8A-B42C-48AB-9242-6FB1666E7415}">
            <xm:f>NOT(ISERROR(SEARCH($Q$12,T462)))</xm:f>
            <xm:f>$Q$12</xm:f>
            <x14:dxf>
              <fill>
                <patternFill>
                  <bgColor theme="9" tint="0.79998168889431442"/>
                </patternFill>
              </fill>
            </x14:dxf>
          </x14:cfRule>
          <x14:cfRule type="containsText" priority="5622" operator="containsText" id="{627201F8-2D8C-4E84-AE49-8EF8BCAF6E0E}">
            <xm:f>NOT(ISERROR(SEARCH($Q$12,T462)))</xm:f>
            <xm:f>$Q$12</xm:f>
            <x14:dxf>
              <fill>
                <patternFill>
                  <bgColor rgb="FFFF0000"/>
                </patternFill>
              </fill>
            </x14:dxf>
          </x14:cfRule>
          <x14:cfRule type="containsText" priority="5610" operator="containsText" id="{CB2D7951-DF11-41F2-8906-98A442F6FA44}">
            <xm:f>NOT(ISERROR(SEARCH($Q$12,T462)))</xm:f>
            <xm:f>$Q$12</xm:f>
            <x14:dxf>
              <fill>
                <patternFill>
                  <bgColor rgb="FFFFFF00"/>
                </patternFill>
              </fill>
            </x14:dxf>
          </x14:cfRule>
          <x14:cfRule type="containsText" priority="5621" operator="containsText" id="{8C5BF630-D41D-4BE4-8E75-5C9DCFF3B7AB}">
            <xm:f>NOT(ISERROR(SEARCH($Q$12,T462)))</xm:f>
            <xm:f>$Q$12</xm:f>
            <x14:dxf>
              <fill>
                <patternFill>
                  <bgColor rgb="FFFFC000"/>
                </patternFill>
              </fill>
            </x14:dxf>
          </x14:cfRule>
          <xm:sqref>T462</xm:sqref>
        </x14:conditionalFormatting>
        <x14:conditionalFormatting xmlns:xm="http://schemas.microsoft.com/office/excel/2006/main">
          <x14:cfRule type="containsText" priority="5572" operator="containsText" id="{07A87DB6-6C11-4A49-A260-010BD2182842}">
            <xm:f>NOT(ISERROR(SEARCH($Q$12,T472)))</xm:f>
            <xm:f>$Q$12</xm:f>
            <x14:dxf>
              <fill>
                <patternFill>
                  <bgColor rgb="FFFFFF00"/>
                </patternFill>
              </fill>
            </x14:dxf>
          </x14:cfRule>
          <x14:cfRule type="containsText" priority="5571" operator="containsText" id="{7017D2B4-3157-4A78-903E-A10A2A6772B2}">
            <xm:f>NOT(ISERROR(SEARCH($Q$12,T472)))</xm:f>
            <xm:f>$Q$12</xm:f>
            <x14:dxf>
              <fill>
                <patternFill>
                  <bgColor theme="9"/>
                </patternFill>
              </fill>
            </x14:dxf>
          </x14:cfRule>
          <x14:cfRule type="containsText" priority="5570" operator="containsText" id="{D6C5EFB8-6345-4E6D-9953-E2984F292A47}">
            <xm:f>NOT(ISERROR(SEARCH($Q$12,T472)))</xm:f>
            <xm:f>$Q$12</xm:f>
            <x14:dxf>
              <fill>
                <patternFill>
                  <bgColor theme="9" tint="0.59996337778862885"/>
                </patternFill>
              </fill>
            </x14:dxf>
          </x14:cfRule>
          <x14:cfRule type="containsText" priority="5569" operator="containsText" id="{396F031F-98C7-4A9C-8B99-B6CEE74403FE}">
            <xm:f>NOT(ISERROR(SEARCH($Q$12,T472)))</xm:f>
            <xm:f>$Q$12</xm:f>
            <x14:dxf>
              <fill>
                <patternFill>
                  <bgColor rgb="FFFF0000"/>
                </patternFill>
              </fill>
            </x14:dxf>
          </x14:cfRule>
          <x14:cfRule type="containsText" priority="5568" operator="containsText" id="{DD189679-6E53-4FB8-A212-6EE83805C1AA}">
            <xm:f>NOT(ISERROR(SEARCH($Q$12,T472)))</xm:f>
            <xm:f>$Q$12</xm:f>
            <x14:dxf>
              <fill>
                <patternFill>
                  <bgColor rgb="FFFFC000"/>
                </patternFill>
              </fill>
            </x14:dxf>
          </x14:cfRule>
          <x14:cfRule type="containsText" priority="5567" operator="containsText" id="{5861039D-19CD-4F59-B8BD-FB64B542D80C}">
            <xm:f>NOT(ISERROR(SEARCH($Q$12,T472)))</xm:f>
            <xm:f>$Q$12</xm:f>
            <x14:dxf>
              <fill>
                <patternFill>
                  <bgColor rgb="FFFFFF00"/>
                </patternFill>
              </fill>
            </x14:dxf>
          </x14:cfRule>
          <x14:cfRule type="containsText" priority="5566" operator="containsText" id="{66CF920A-75D3-4D3C-BD22-0189AC4A1E6A}">
            <xm:f>NOT(ISERROR(SEARCH($Q$12,T472)))</xm:f>
            <xm:f>$Q$12</xm:f>
            <x14:dxf/>
          </x14:cfRule>
          <x14:cfRule type="containsText" priority="5565" operator="containsText" id="{8CD1EEB2-42D4-4891-B4E2-185C410AC441}">
            <xm:f>NOT(ISERROR(SEARCH($Q$12,T472)))</xm:f>
            <xm:f>$Q$12</xm:f>
            <x14:dxf>
              <fill>
                <patternFill>
                  <bgColor rgb="FF00B050"/>
                </patternFill>
              </fill>
            </x14:dxf>
          </x14:cfRule>
          <x14:cfRule type="containsText" priority="5564" operator="containsText" id="{EC803381-DCDD-4357-A8DB-7ACCBF4DD436}">
            <xm:f>NOT(ISERROR(SEARCH($Q$12,T472)))</xm:f>
            <xm:f>$Q$12</xm:f>
            <x14:dxf>
              <fill>
                <patternFill>
                  <bgColor theme="9" tint="0.39994506668294322"/>
                </patternFill>
              </fill>
            </x14:dxf>
          </x14:cfRule>
          <x14:cfRule type="containsText" priority="5563" operator="containsText" id="{73815833-01F9-4DDC-B9F2-46D7EA7AE391}">
            <xm:f>NOT(ISERROR(SEARCH($Q$12,T472)))</xm:f>
            <xm:f>$Q$12</xm:f>
            <x14:dxf>
              <fill>
                <patternFill>
                  <bgColor theme="9" tint="0.79998168889431442"/>
                </patternFill>
              </fill>
            </x14:dxf>
          </x14:cfRule>
          <x14:cfRule type="containsText" priority="5562" operator="containsText" id="{CD0B010A-3032-41A7-9BF0-6DA566425D94}">
            <xm:f>NOT(ISERROR(SEARCH($Q$12,T472)))</xm:f>
            <xm:f>$Q$12</xm:f>
            <x14:dxf>
              <fill>
                <patternFill>
                  <bgColor rgb="FFFFFF00"/>
                </patternFill>
              </fill>
            </x14:dxf>
          </x14:cfRule>
          <x14:cfRule type="containsText" priority="5574" operator="containsText" id="{3E950EA4-D0A3-40F0-B4AB-1EA74E163037}">
            <xm:f>NOT(ISERROR(SEARCH($Q$12,T472)))</xm:f>
            <xm:f>$Q$12</xm:f>
            <x14:dxf>
              <fill>
                <patternFill>
                  <bgColor rgb="FFFF0000"/>
                </patternFill>
              </fill>
            </x14:dxf>
          </x14:cfRule>
          <x14:cfRule type="containsText" priority="5573" operator="containsText" id="{03B996A5-84F2-4DC3-9431-114BFF1A299F}">
            <xm:f>NOT(ISERROR(SEARCH($Q$12,T472)))</xm:f>
            <xm:f>$Q$12</xm:f>
            <x14:dxf>
              <fill>
                <patternFill>
                  <bgColor rgb="FFFFC000"/>
                </patternFill>
              </fill>
            </x14:dxf>
          </x14:cfRule>
          <xm:sqref>T472</xm:sqref>
        </x14:conditionalFormatting>
        <x14:conditionalFormatting xmlns:xm="http://schemas.microsoft.com/office/excel/2006/main">
          <x14:cfRule type="containsText" priority="5526" operator="containsText" id="{864D3A8B-C733-4A1C-A34B-A4FEE613181A}">
            <xm:f>NOT(ISERROR(SEARCH($Q$12,T482)))</xm:f>
            <xm:f>$Q$12</xm:f>
            <x14:dxf>
              <fill>
                <patternFill>
                  <bgColor rgb="FFFF0000"/>
                </patternFill>
              </fill>
            </x14:dxf>
          </x14:cfRule>
          <x14:cfRule type="containsText" priority="5525" operator="containsText" id="{BA858AC2-702A-4C1E-855C-74BF48B9B7C1}">
            <xm:f>NOT(ISERROR(SEARCH($Q$12,T482)))</xm:f>
            <xm:f>$Q$12</xm:f>
            <x14:dxf>
              <fill>
                <patternFill>
                  <bgColor rgb="FFFFC000"/>
                </patternFill>
              </fill>
            </x14:dxf>
          </x14:cfRule>
          <x14:cfRule type="containsText" priority="5524" operator="containsText" id="{4AD4BFDA-58BB-4270-BFD7-D1A29442CF2B}">
            <xm:f>NOT(ISERROR(SEARCH($Q$12,T482)))</xm:f>
            <xm:f>$Q$12</xm:f>
            <x14:dxf>
              <fill>
                <patternFill>
                  <bgColor rgb="FFFFFF00"/>
                </patternFill>
              </fill>
            </x14:dxf>
          </x14:cfRule>
          <x14:cfRule type="containsText" priority="5523" operator="containsText" id="{FB326918-AD01-4228-85E1-1FA81E985F62}">
            <xm:f>NOT(ISERROR(SEARCH($Q$12,T482)))</xm:f>
            <xm:f>$Q$12</xm:f>
            <x14:dxf>
              <fill>
                <patternFill>
                  <bgColor theme="9"/>
                </patternFill>
              </fill>
            </x14:dxf>
          </x14:cfRule>
          <x14:cfRule type="containsText" priority="5522" operator="containsText" id="{AC6B38A0-D23F-47D7-8962-E3DD5F3101F2}">
            <xm:f>NOT(ISERROR(SEARCH($Q$12,T482)))</xm:f>
            <xm:f>$Q$12</xm:f>
            <x14:dxf>
              <fill>
                <patternFill>
                  <bgColor theme="9" tint="0.59996337778862885"/>
                </patternFill>
              </fill>
            </x14:dxf>
          </x14:cfRule>
          <x14:cfRule type="containsText" priority="5521" operator="containsText" id="{7CBD290F-1733-478C-8991-55F88D3F65BC}">
            <xm:f>NOT(ISERROR(SEARCH($Q$12,T482)))</xm:f>
            <xm:f>$Q$12</xm:f>
            <x14:dxf>
              <fill>
                <patternFill>
                  <bgColor rgb="FFFF0000"/>
                </patternFill>
              </fill>
            </x14:dxf>
          </x14:cfRule>
          <x14:cfRule type="containsText" priority="5520" operator="containsText" id="{560DD423-EEEF-4591-9F50-48D7DC638A16}">
            <xm:f>NOT(ISERROR(SEARCH($Q$12,T482)))</xm:f>
            <xm:f>$Q$12</xm:f>
            <x14:dxf>
              <fill>
                <patternFill>
                  <bgColor rgb="FFFFC000"/>
                </patternFill>
              </fill>
            </x14:dxf>
          </x14:cfRule>
          <x14:cfRule type="containsText" priority="5519" operator="containsText" id="{FDCD6B84-CEB2-4698-86DD-F937CBA356E7}">
            <xm:f>NOT(ISERROR(SEARCH($Q$12,T482)))</xm:f>
            <xm:f>$Q$12</xm:f>
            <x14:dxf>
              <fill>
                <patternFill>
                  <bgColor rgb="FFFFFF00"/>
                </patternFill>
              </fill>
            </x14:dxf>
          </x14:cfRule>
          <x14:cfRule type="containsText" priority="5517" operator="containsText" id="{2A4379C6-C1B0-4195-8F0C-98E3922491FA}">
            <xm:f>NOT(ISERROR(SEARCH($Q$12,T482)))</xm:f>
            <xm:f>$Q$12</xm:f>
            <x14:dxf>
              <fill>
                <patternFill>
                  <bgColor rgb="FF00B050"/>
                </patternFill>
              </fill>
            </x14:dxf>
          </x14:cfRule>
          <x14:cfRule type="containsText" priority="5516" operator="containsText" id="{28C46095-87D2-42FB-A81F-A4495D639DFC}">
            <xm:f>NOT(ISERROR(SEARCH($Q$12,T482)))</xm:f>
            <xm:f>$Q$12</xm:f>
            <x14:dxf>
              <fill>
                <patternFill>
                  <bgColor theme="9" tint="0.39994506668294322"/>
                </patternFill>
              </fill>
            </x14:dxf>
          </x14:cfRule>
          <x14:cfRule type="containsText" priority="5515" operator="containsText" id="{8748C795-2BE8-400F-8D72-79D02DC0210A}">
            <xm:f>NOT(ISERROR(SEARCH($Q$12,T482)))</xm:f>
            <xm:f>$Q$12</xm:f>
            <x14:dxf>
              <fill>
                <patternFill>
                  <bgColor theme="9" tint="0.79998168889431442"/>
                </patternFill>
              </fill>
            </x14:dxf>
          </x14:cfRule>
          <x14:cfRule type="containsText" priority="5514" operator="containsText" id="{52ADB508-B890-4621-B1F2-32DAB6283ABA}">
            <xm:f>NOT(ISERROR(SEARCH($Q$12,T482)))</xm:f>
            <xm:f>$Q$12</xm:f>
            <x14:dxf>
              <fill>
                <patternFill>
                  <bgColor rgb="FFFFFF00"/>
                </patternFill>
              </fill>
            </x14:dxf>
          </x14:cfRule>
          <x14:cfRule type="containsText" priority="5518" operator="containsText" id="{ACD19B23-05EF-462D-81B2-5F3DADC8F348}">
            <xm:f>NOT(ISERROR(SEARCH($Q$12,T482)))</xm:f>
            <xm:f>$Q$12</xm:f>
            <x14:dxf/>
          </x14:cfRule>
          <xm:sqref>T482</xm:sqref>
        </x14:conditionalFormatting>
        <x14:conditionalFormatting xmlns:xm="http://schemas.microsoft.com/office/excel/2006/main">
          <x14:cfRule type="containsText" priority="5476" operator="containsText" id="{CDC3CE52-C40F-455E-8600-2C898D3D6D02}">
            <xm:f>NOT(ISERROR(SEARCH($Q$12,T492)))</xm:f>
            <xm:f>$Q$12</xm:f>
            <x14:dxf>
              <fill>
                <patternFill>
                  <bgColor rgb="FFFFFF00"/>
                </patternFill>
              </fill>
            </x14:dxf>
          </x14:cfRule>
          <x14:cfRule type="containsText" priority="5477" operator="containsText" id="{F84BD499-1AEC-4536-8963-6BEFDCC94FBA}">
            <xm:f>NOT(ISERROR(SEARCH($Q$12,T492)))</xm:f>
            <xm:f>$Q$12</xm:f>
            <x14:dxf>
              <fill>
                <patternFill>
                  <bgColor rgb="FFFFC000"/>
                </patternFill>
              </fill>
            </x14:dxf>
          </x14:cfRule>
          <x14:cfRule type="containsText" priority="5466" operator="containsText" id="{64B8F4AC-9321-4FC9-96DB-F2D243DC6093}">
            <xm:f>NOT(ISERROR(SEARCH($Q$12,T492)))</xm:f>
            <xm:f>$Q$12</xm:f>
            <x14:dxf>
              <fill>
                <patternFill>
                  <bgColor rgb="FFFFFF00"/>
                </patternFill>
              </fill>
            </x14:dxf>
          </x14:cfRule>
          <x14:cfRule type="containsText" priority="5473" operator="containsText" id="{F17360AD-C41F-4C59-8C20-1340E847838A}">
            <xm:f>NOT(ISERROR(SEARCH($Q$12,T492)))</xm:f>
            <xm:f>$Q$12</xm:f>
            <x14:dxf>
              <fill>
                <patternFill>
                  <bgColor rgb="FFFF0000"/>
                </patternFill>
              </fill>
            </x14:dxf>
          </x14:cfRule>
          <x14:cfRule type="containsText" priority="5478" operator="containsText" id="{A1F492E0-8644-4088-9714-5476202A8AD0}">
            <xm:f>NOT(ISERROR(SEARCH($Q$12,T492)))</xm:f>
            <xm:f>$Q$12</xm:f>
            <x14:dxf>
              <fill>
                <patternFill>
                  <bgColor rgb="FFFF0000"/>
                </patternFill>
              </fill>
            </x14:dxf>
          </x14:cfRule>
          <x14:cfRule type="containsText" priority="5467" operator="containsText" id="{8786BFA0-9948-4B4D-BF7A-C017C3D42AE4}">
            <xm:f>NOT(ISERROR(SEARCH($Q$12,T492)))</xm:f>
            <xm:f>$Q$12</xm:f>
            <x14:dxf>
              <fill>
                <patternFill>
                  <bgColor theme="9" tint="0.79998168889431442"/>
                </patternFill>
              </fill>
            </x14:dxf>
          </x14:cfRule>
          <x14:cfRule type="containsText" priority="5475" operator="containsText" id="{1CE47CD5-A7BF-4EF9-8506-3664D7B7B509}">
            <xm:f>NOT(ISERROR(SEARCH($Q$12,T492)))</xm:f>
            <xm:f>$Q$12</xm:f>
            <x14:dxf>
              <fill>
                <patternFill>
                  <bgColor theme="9"/>
                </patternFill>
              </fill>
            </x14:dxf>
          </x14:cfRule>
          <x14:cfRule type="containsText" priority="5474" operator="containsText" id="{6DEFCF25-8808-47BD-9B36-AED9DF4443A0}">
            <xm:f>NOT(ISERROR(SEARCH($Q$12,T492)))</xm:f>
            <xm:f>$Q$12</xm:f>
            <x14:dxf>
              <fill>
                <patternFill>
                  <bgColor theme="9" tint="0.59996337778862885"/>
                </patternFill>
              </fill>
            </x14:dxf>
          </x14:cfRule>
          <x14:cfRule type="containsText" priority="5472" operator="containsText" id="{01A2E4E5-234E-4507-B73A-CE0E4C43BE8B}">
            <xm:f>NOT(ISERROR(SEARCH($Q$12,T492)))</xm:f>
            <xm:f>$Q$12</xm:f>
            <x14:dxf>
              <fill>
                <patternFill>
                  <bgColor rgb="FFFFC000"/>
                </patternFill>
              </fill>
            </x14:dxf>
          </x14:cfRule>
          <x14:cfRule type="containsText" priority="5471" operator="containsText" id="{D00851EE-8B64-4C7A-ADC5-AD46F1DCDA5E}">
            <xm:f>NOT(ISERROR(SEARCH($Q$12,T492)))</xm:f>
            <xm:f>$Q$12</xm:f>
            <x14:dxf>
              <fill>
                <patternFill>
                  <bgColor rgb="FFFFFF00"/>
                </patternFill>
              </fill>
            </x14:dxf>
          </x14:cfRule>
          <x14:cfRule type="containsText" priority="5470" operator="containsText" id="{670BDC7C-C2A8-4F43-8C0A-4981E4039BB3}">
            <xm:f>NOT(ISERROR(SEARCH($Q$12,T492)))</xm:f>
            <xm:f>$Q$12</xm:f>
            <x14:dxf/>
          </x14:cfRule>
          <x14:cfRule type="containsText" priority="5469" operator="containsText" id="{ABD92F60-B9CB-450F-A736-051FD3B0C0F0}">
            <xm:f>NOT(ISERROR(SEARCH($Q$12,T492)))</xm:f>
            <xm:f>$Q$12</xm:f>
            <x14:dxf>
              <fill>
                <patternFill>
                  <bgColor rgb="FF00B050"/>
                </patternFill>
              </fill>
            </x14:dxf>
          </x14:cfRule>
          <x14:cfRule type="containsText" priority="5468" operator="containsText" id="{26D10D83-CF9A-4577-B706-4A34CB0D7B10}">
            <xm:f>NOT(ISERROR(SEARCH($Q$12,T492)))</xm:f>
            <xm:f>$Q$12</xm:f>
            <x14:dxf>
              <fill>
                <patternFill>
                  <bgColor theme="9" tint="0.39994506668294322"/>
                </patternFill>
              </fill>
            </x14:dxf>
          </x14:cfRule>
          <xm:sqref>T492</xm:sqref>
        </x14:conditionalFormatting>
        <x14:conditionalFormatting xmlns:xm="http://schemas.microsoft.com/office/excel/2006/main">
          <x14:cfRule type="containsText" priority="5195" operator="containsText" id="{349DF813-E11D-4344-9429-DD3A849E3DC2}">
            <xm:f>NOT(ISERROR(SEARCH($Q$12,T512)))</xm:f>
            <xm:f>$Q$12</xm:f>
            <x14:dxf>
              <fill>
                <patternFill>
                  <bgColor rgb="FF00B050"/>
                </patternFill>
              </fill>
            </x14:dxf>
          </x14:cfRule>
          <x14:cfRule type="containsText" priority="5196" operator="containsText" id="{ED0B054B-72CC-4270-8697-BD338325FA98}">
            <xm:f>NOT(ISERROR(SEARCH($Q$12,T512)))</xm:f>
            <xm:f>$Q$12</xm:f>
            <x14:dxf/>
          </x14:cfRule>
          <x14:cfRule type="containsText" priority="5203" operator="containsText" id="{39C88D9F-219A-4EF7-B01F-5C8BCBCB7547}">
            <xm:f>NOT(ISERROR(SEARCH($Q$12,T512)))</xm:f>
            <xm:f>$Q$12</xm:f>
            <x14:dxf>
              <fill>
                <patternFill>
                  <bgColor rgb="FFFFC000"/>
                </patternFill>
              </fill>
            </x14:dxf>
          </x14:cfRule>
          <x14:cfRule type="containsText" priority="5204" operator="containsText" id="{91DB2349-A643-4A37-BF0C-1071DC2B20A6}">
            <xm:f>NOT(ISERROR(SEARCH($Q$12,T512)))</xm:f>
            <xm:f>$Q$12</xm:f>
            <x14:dxf>
              <fill>
                <patternFill>
                  <bgColor rgb="FFFF0000"/>
                </patternFill>
              </fill>
            </x14:dxf>
          </x14:cfRule>
          <x14:cfRule type="containsText" priority="5198" operator="containsText" id="{A65D1916-D88D-4642-94E0-E16C31520291}">
            <xm:f>NOT(ISERROR(SEARCH($Q$12,T512)))</xm:f>
            <xm:f>$Q$12</xm:f>
            <x14:dxf>
              <fill>
                <patternFill>
                  <bgColor rgb="FFFFC000"/>
                </patternFill>
              </fill>
            </x14:dxf>
          </x14:cfRule>
          <x14:cfRule type="containsText" priority="5199" operator="containsText" id="{6A7638D5-9F43-46AA-9F24-2B1EFFBEAFC7}">
            <xm:f>NOT(ISERROR(SEARCH($Q$12,T512)))</xm:f>
            <xm:f>$Q$12</xm:f>
            <x14:dxf>
              <fill>
                <patternFill>
                  <bgColor rgb="FFFF0000"/>
                </patternFill>
              </fill>
            </x14:dxf>
          </x14:cfRule>
          <x14:cfRule type="containsText" priority="5192" operator="containsText" id="{30F0C17D-2A0D-46E0-89A1-D7F5EFDB781D}">
            <xm:f>NOT(ISERROR(SEARCH($Q$12,T512)))</xm:f>
            <xm:f>$Q$12</xm:f>
            <x14:dxf>
              <fill>
                <patternFill>
                  <bgColor rgb="FFFFFF00"/>
                </patternFill>
              </fill>
            </x14:dxf>
          </x14:cfRule>
          <x14:cfRule type="containsText" priority="5200" operator="containsText" id="{8D4ADCD6-F636-48E9-BAA8-DB65EDE20083}">
            <xm:f>NOT(ISERROR(SEARCH($Q$12,T512)))</xm:f>
            <xm:f>$Q$12</xm:f>
            <x14:dxf>
              <fill>
                <patternFill>
                  <bgColor theme="9" tint="0.59996337778862885"/>
                </patternFill>
              </fill>
            </x14:dxf>
          </x14:cfRule>
          <x14:cfRule type="containsText" priority="5197" operator="containsText" id="{FEA18233-5590-4A04-8294-719EF241BCA4}">
            <xm:f>NOT(ISERROR(SEARCH($Q$12,T512)))</xm:f>
            <xm:f>$Q$12</xm:f>
            <x14:dxf>
              <fill>
                <patternFill>
                  <bgColor rgb="FFFFFF00"/>
                </patternFill>
              </fill>
            </x14:dxf>
          </x14:cfRule>
          <x14:cfRule type="containsText" priority="5201" operator="containsText" id="{783F400C-DC3B-4ECD-8DE9-B08416CD4F64}">
            <xm:f>NOT(ISERROR(SEARCH($Q$12,T512)))</xm:f>
            <xm:f>$Q$12</xm:f>
            <x14:dxf>
              <fill>
                <patternFill>
                  <bgColor theme="9"/>
                </patternFill>
              </fill>
            </x14:dxf>
          </x14:cfRule>
          <x14:cfRule type="containsText" priority="5202" operator="containsText" id="{5CAB2987-D8D3-4131-BC1F-C25435AAF4EA}">
            <xm:f>NOT(ISERROR(SEARCH($Q$12,T512)))</xm:f>
            <xm:f>$Q$12</xm:f>
            <x14:dxf>
              <fill>
                <patternFill>
                  <bgColor rgb="FFFFFF00"/>
                </patternFill>
              </fill>
            </x14:dxf>
          </x14:cfRule>
          <x14:cfRule type="containsText" priority="5193" operator="containsText" id="{448C4650-1D90-43F4-B9D5-FE9545971F46}">
            <xm:f>NOT(ISERROR(SEARCH($Q$12,T512)))</xm:f>
            <xm:f>$Q$12</xm:f>
            <x14:dxf>
              <fill>
                <patternFill>
                  <bgColor theme="9" tint="0.79998168889431442"/>
                </patternFill>
              </fill>
            </x14:dxf>
          </x14:cfRule>
          <x14:cfRule type="containsText" priority="5194" operator="containsText" id="{5E400038-4AD6-42E2-B3E7-B95E39ADB468}">
            <xm:f>NOT(ISERROR(SEARCH($Q$12,T512)))</xm:f>
            <xm:f>$Q$12</xm:f>
            <x14:dxf>
              <fill>
                <patternFill>
                  <bgColor theme="9" tint="0.39994506668294322"/>
                </patternFill>
              </fill>
            </x14:dxf>
          </x14:cfRule>
          <xm:sqref>T512</xm:sqref>
        </x14:conditionalFormatting>
        <x14:conditionalFormatting xmlns:xm="http://schemas.microsoft.com/office/excel/2006/main">
          <x14:cfRule type="containsText" priority="5155" operator="containsText" id="{F490779A-B8D3-47D7-87E7-7E21AB311203}">
            <xm:f>NOT(ISERROR(SEARCH($Q$12,T522)))</xm:f>
            <xm:f>$Q$12</xm:f>
            <x14:dxf>
              <fill>
                <patternFill>
                  <bgColor rgb="FFFFC000"/>
                </patternFill>
              </fill>
            </x14:dxf>
          </x14:cfRule>
          <x14:cfRule type="containsText" priority="5153" operator="containsText" id="{B2978BEE-03BC-46DA-B054-D41BF1960CA5}">
            <xm:f>NOT(ISERROR(SEARCH($Q$12,T522)))</xm:f>
            <xm:f>$Q$12</xm:f>
            <x14:dxf>
              <fill>
                <patternFill>
                  <bgColor theme="9"/>
                </patternFill>
              </fill>
            </x14:dxf>
          </x14:cfRule>
          <x14:cfRule type="containsText" priority="5150" operator="containsText" id="{BB06380B-ACD5-4243-B0D4-B88FD8FD64AA}">
            <xm:f>NOT(ISERROR(SEARCH($Q$12,T522)))</xm:f>
            <xm:f>$Q$12</xm:f>
            <x14:dxf>
              <fill>
                <patternFill>
                  <bgColor rgb="FFFFC000"/>
                </patternFill>
              </fill>
            </x14:dxf>
          </x14:cfRule>
          <x14:cfRule type="containsText" priority="5152" operator="containsText" id="{04216575-DEEF-4889-AA67-B7EA5F1EAD12}">
            <xm:f>NOT(ISERROR(SEARCH($Q$12,T522)))</xm:f>
            <xm:f>$Q$12</xm:f>
            <x14:dxf>
              <fill>
                <patternFill>
                  <bgColor theme="9" tint="0.59996337778862885"/>
                </patternFill>
              </fill>
            </x14:dxf>
          </x14:cfRule>
          <x14:cfRule type="containsText" priority="5151" operator="containsText" id="{AE6C9F53-1AC5-48A2-B44C-D2ADF57B99AF}">
            <xm:f>NOT(ISERROR(SEARCH($Q$12,T522)))</xm:f>
            <xm:f>$Q$12</xm:f>
            <x14:dxf>
              <fill>
                <patternFill>
                  <bgColor rgb="FFFF0000"/>
                </patternFill>
              </fill>
            </x14:dxf>
          </x14:cfRule>
          <x14:cfRule type="containsText" priority="5149" operator="containsText" id="{9B4799D4-4B3E-4D1D-9836-80F37E68C97C}">
            <xm:f>NOT(ISERROR(SEARCH($Q$12,T522)))</xm:f>
            <xm:f>$Q$12</xm:f>
            <x14:dxf>
              <fill>
                <patternFill>
                  <bgColor rgb="FFFFFF00"/>
                </patternFill>
              </fill>
            </x14:dxf>
          </x14:cfRule>
          <x14:cfRule type="containsText" priority="5148" operator="containsText" id="{3DB0D8CF-3FA6-47B3-8DE1-51C5885DACFB}">
            <xm:f>NOT(ISERROR(SEARCH($Q$12,T522)))</xm:f>
            <xm:f>$Q$12</xm:f>
            <x14:dxf/>
          </x14:cfRule>
          <x14:cfRule type="containsText" priority="5144" operator="containsText" id="{B7F41F74-6654-4B85-AC87-C5AC8482808D}">
            <xm:f>NOT(ISERROR(SEARCH($Q$12,T522)))</xm:f>
            <xm:f>$Q$12</xm:f>
            <x14:dxf>
              <fill>
                <patternFill>
                  <bgColor rgb="FFFFFF00"/>
                </patternFill>
              </fill>
            </x14:dxf>
          </x14:cfRule>
          <x14:cfRule type="containsText" priority="5147" operator="containsText" id="{43EF608E-4DAF-4755-86D6-44FB6FDDEF54}">
            <xm:f>NOT(ISERROR(SEARCH($Q$12,T522)))</xm:f>
            <xm:f>$Q$12</xm:f>
            <x14:dxf>
              <fill>
                <patternFill>
                  <bgColor rgb="FF00B050"/>
                </patternFill>
              </fill>
            </x14:dxf>
          </x14:cfRule>
          <x14:cfRule type="containsText" priority="5146" operator="containsText" id="{EF59315E-C879-4114-8DA4-7228830D7A2B}">
            <xm:f>NOT(ISERROR(SEARCH($Q$12,T522)))</xm:f>
            <xm:f>$Q$12</xm:f>
            <x14:dxf>
              <fill>
                <patternFill>
                  <bgColor theme="9" tint="0.39994506668294322"/>
                </patternFill>
              </fill>
            </x14:dxf>
          </x14:cfRule>
          <x14:cfRule type="containsText" priority="5145" operator="containsText" id="{642D9DD3-9D31-46F5-9793-A7EF99F27433}">
            <xm:f>NOT(ISERROR(SEARCH($Q$12,T522)))</xm:f>
            <xm:f>$Q$12</xm:f>
            <x14:dxf>
              <fill>
                <patternFill>
                  <bgColor theme="9" tint="0.79998168889431442"/>
                </patternFill>
              </fill>
            </x14:dxf>
          </x14:cfRule>
          <x14:cfRule type="containsText" priority="5156" operator="containsText" id="{5D0BDFF0-D5EF-45AE-94DD-450D97B76455}">
            <xm:f>NOT(ISERROR(SEARCH($Q$12,T522)))</xm:f>
            <xm:f>$Q$12</xm:f>
            <x14:dxf>
              <fill>
                <patternFill>
                  <bgColor rgb="FFFF0000"/>
                </patternFill>
              </fill>
            </x14:dxf>
          </x14:cfRule>
          <x14:cfRule type="containsText" priority="5154" operator="containsText" id="{C8B76FBF-DA83-467B-9029-77A306BFE251}">
            <xm:f>NOT(ISERROR(SEARCH($Q$12,T522)))</xm:f>
            <xm:f>$Q$12</xm:f>
            <x14:dxf>
              <fill>
                <patternFill>
                  <bgColor rgb="FFFFFF00"/>
                </patternFill>
              </fill>
            </x14:dxf>
          </x14:cfRule>
          <xm:sqref>T522</xm:sqref>
        </x14:conditionalFormatting>
        <x14:conditionalFormatting xmlns:xm="http://schemas.microsoft.com/office/excel/2006/main">
          <x14:cfRule type="containsText" priority="4580" operator="containsText" id="{588662DA-C111-4367-85E9-FBD55637F62F}">
            <xm:f>NOT(ISERROR(SEARCH($Q$12,T572)))</xm:f>
            <xm:f>$Q$12</xm:f>
            <x14:dxf/>
          </x14:cfRule>
          <x14:cfRule type="containsText" priority="4586" operator="containsText" id="{82E81CA3-6048-4811-ACB9-6E8EA61D9EB9}">
            <xm:f>NOT(ISERROR(SEARCH($Q$12,T572)))</xm:f>
            <xm:f>$Q$12</xm:f>
            <x14:dxf>
              <fill>
                <patternFill>
                  <bgColor rgb="FFFFFF00"/>
                </patternFill>
              </fill>
            </x14:dxf>
          </x14:cfRule>
          <x14:cfRule type="containsText" priority="4587" operator="containsText" id="{ED461C1C-0DF1-4F51-8A00-85E0FDD4BCBE}">
            <xm:f>NOT(ISERROR(SEARCH($Q$12,T572)))</xm:f>
            <xm:f>$Q$12</xm:f>
            <x14:dxf>
              <fill>
                <patternFill>
                  <bgColor rgb="FFFFC000"/>
                </patternFill>
              </fill>
            </x14:dxf>
          </x14:cfRule>
          <x14:cfRule type="containsText" priority="4588" operator="containsText" id="{360F4F4D-39B4-4140-932F-57FC501F9857}">
            <xm:f>NOT(ISERROR(SEARCH($Q$12,T572)))</xm:f>
            <xm:f>$Q$12</xm:f>
            <x14:dxf>
              <fill>
                <patternFill>
                  <bgColor rgb="FFFF0000"/>
                </patternFill>
              </fill>
            </x14:dxf>
          </x14:cfRule>
          <x14:cfRule type="containsText" priority="4579" operator="containsText" id="{857B5782-A4E9-4FDC-809A-D42C65DD4892}">
            <xm:f>NOT(ISERROR(SEARCH($Q$12,T572)))</xm:f>
            <xm:f>$Q$12</xm:f>
            <x14:dxf>
              <fill>
                <patternFill>
                  <bgColor rgb="FF00B050"/>
                </patternFill>
              </fill>
            </x14:dxf>
          </x14:cfRule>
          <x14:cfRule type="containsText" priority="4584" operator="containsText" id="{BD33FBD4-EEF7-48E6-AEBA-A79A5CD4D283}">
            <xm:f>NOT(ISERROR(SEARCH($Q$12,T572)))</xm:f>
            <xm:f>$Q$12</xm:f>
            <x14:dxf>
              <fill>
                <patternFill>
                  <bgColor theme="9" tint="0.59996337778862885"/>
                </patternFill>
              </fill>
            </x14:dxf>
          </x14:cfRule>
          <x14:cfRule type="containsText" priority="4576" operator="containsText" id="{98873905-A3EA-4A32-A931-4ED1B2D97E1B}">
            <xm:f>NOT(ISERROR(SEARCH($Q$12,T572)))</xm:f>
            <xm:f>$Q$12</xm:f>
            <x14:dxf>
              <fill>
                <patternFill>
                  <bgColor rgb="FFFFFF00"/>
                </patternFill>
              </fill>
            </x14:dxf>
          </x14:cfRule>
          <x14:cfRule type="containsText" priority="4577" operator="containsText" id="{4F890708-B91F-4C07-B5B8-F33A6C3E68CD}">
            <xm:f>NOT(ISERROR(SEARCH($Q$12,T572)))</xm:f>
            <xm:f>$Q$12</xm:f>
            <x14:dxf>
              <fill>
                <patternFill>
                  <bgColor theme="9" tint="0.79998168889431442"/>
                </patternFill>
              </fill>
            </x14:dxf>
          </x14:cfRule>
          <x14:cfRule type="containsText" priority="4578" operator="containsText" id="{61D1BEDD-0E50-4D3C-A419-89F612E4E67A}">
            <xm:f>NOT(ISERROR(SEARCH($Q$12,T572)))</xm:f>
            <xm:f>$Q$12</xm:f>
            <x14:dxf>
              <fill>
                <patternFill>
                  <bgColor theme="9" tint="0.39994506668294322"/>
                </patternFill>
              </fill>
            </x14:dxf>
          </x14:cfRule>
          <x14:cfRule type="containsText" priority="4581" operator="containsText" id="{ACC303B1-3BDD-4930-9937-09974E6A202B}">
            <xm:f>NOT(ISERROR(SEARCH($Q$12,T572)))</xm:f>
            <xm:f>$Q$12</xm:f>
            <x14:dxf>
              <fill>
                <patternFill>
                  <bgColor rgb="FFFFFF00"/>
                </patternFill>
              </fill>
            </x14:dxf>
          </x14:cfRule>
          <x14:cfRule type="containsText" priority="4582" operator="containsText" id="{63B68BB7-7052-4537-89BC-5CAFAFD3F35A}">
            <xm:f>NOT(ISERROR(SEARCH($Q$12,T572)))</xm:f>
            <xm:f>$Q$12</xm:f>
            <x14:dxf>
              <fill>
                <patternFill>
                  <bgColor rgb="FFFFC000"/>
                </patternFill>
              </fill>
            </x14:dxf>
          </x14:cfRule>
          <x14:cfRule type="containsText" priority="4583" operator="containsText" id="{F6C4C20B-8297-4B4A-82A7-6DF9E47C88C8}">
            <xm:f>NOT(ISERROR(SEARCH($Q$12,T572)))</xm:f>
            <xm:f>$Q$12</xm:f>
            <x14:dxf>
              <fill>
                <patternFill>
                  <bgColor rgb="FFFF0000"/>
                </patternFill>
              </fill>
            </x14:dxf>
          </x14:cfRule>
          <x14:cfRule type="containsText" priority="4585" operator="containsText" id="{D91D07C9-F0D1-4820-9A8F-DB9BDB046536}">
            <xm:f>NOT(ISERROR(SEARCH($Q$12,T572)))</xm:f>
            <xm:f>$Q$12</xm:f>
            <x14:dxf>
              <fill>
                <patternFill>
                  <bgColor theme="9"/>
                </patternFill>
              </fill>
            </x14:dxf>
          </x14:cfRule>
          <xm:sqref>T572</xm:sqref>
        </x14:conditionalFormatting>
        <x14:conditionalFormatting xmlns:xm="http://schemas.microsoft.com/office/excel/2006/main">
          <x14:cfRule type="containsText" priority="4345" operator="containsText" id="{1CF5DB61-5239-4D3E-B8F0-3DF9C07737E0}">
            <xm:f>NOT(ISERROR(SEARCH($Q$12,T592)))</xm:f>
            <xm:f>$Q$12</xm:f>
            <x14:dxf>
              <fill>
                <patternFill>
                  <bgColor rgb="FF00B050"/>
                </patternFill>
              </fill>
            </x14:dxf>
          </x14:cfRule>
          <x14:cfRule type="containsText" priority="4346" operator="containsText" id="{6E346CF2-15F1-41FC-9E55-15E0ABE3A7E4}">
            <xm:f>NOT(ISERROR(SEARCH($Q$12,T592)))</xm:f>
            <xm:f>$Q$12</xm:f>
            <x14:dxf/>
          </x14:cfRule>
          <x14:cfRule type="containsText" priority="4347" operator="containsText" id="{114195C7-8B8E-4696-B543-1734DAF80C9A}">
            <xm:f>NOT(ISERROR(SEARCH($Q$12,T592)))</xm:f>
            <xm:f>$Q$12</xm:f>
            <x14:dxf>
              <fill>
                <patternFill>
                  <bgColor rgb="FFFFFF00"/>
                </patternFill>
              </fill>
            </x14:dxf>
          </x14:cfRule>
          <x14:cfRule type="containsText" priority="4349" operator="containsText" id="{2DF60F23-9566-4A66-9372-89D9D3B61571}">
            <xm:f>NOT(ISERROR(SEARCH($Q$12,T592)))</xm:f>
            <xm:f>$Q$12</xm:f>
            <x14:dxf>
              <fill>
                <patternFill>
                  <bgColor rgb="FFFF0000"/>
                </patternFill>
              </fill>
            </x14:dxf>
          </x14:cfRule>
          <x14:cfRule type="containsText" priority="4348" operator="containsText" id="{CED1B8BC-AB4D-4FA7-A8C1-733B017AE247}">
            <xm:f>NOT(ISERROR(SEARCH($Q$12,T592)))</xm:f>
            <xm:f>$Q$12</xm:f>
            <x14:dxf>
              <fill>
                <patternFill>
                  <bgColor rgb="FFFFC000"/>
                </patternFill>
              </fill>
            </x14:dxf>
          </x14:cfRule>
          <x14:cfRule type="containsText" priority="4351" operator="containsText" id="{4BAA1956-F0A1-48CD-BB93-094BCEDF0635}">
            <xm:f>NOT(ISERROR(SEARCH($Q$12,T592)))</xm:f>
            <xm:f>$Q$12</xm:f>
            <x14:dxf>
              <fill>
                <patternFill>
                  <bgColor theme="9"/>
                </patternFill>
              </fill>
            </x14:dxf>
          </x14:cfRule>
          <x14:cfRule type="containsText" priority="4352" operator="containsText" id="{2385C987-F602-417E-9E65-E2883D2E2D41}">
            <xm:f>NOT(ISERROR(SEARCH($Q$12,T592)))</xm:f>
            <xm:f>$Q$12</xm:f>
            <x14:dxf>
              <fill>
                <patternFill>
                  <bgColor rgb="FFFFFF00"/>
                </patternFill>
              </fill>
            </x14:dxf>
          </x14:cfRule>
          <x14:cfRule type="containsText" priority="4353" operator="containsText" id="{67F0CD80-D680-4B8D-8C1F-A9CF5C267038}">
            <xm:f>NOT(ISERROR(SEARCH($Q$12,T592)))</xm:f>
            <xm:f>$Q$12</xm:f>
            <x14:dxf>
              <fill>
                <patternFill>
                  <bgColor rgb="FFFFC000"/>
                </patternFill>
              </fill>
            </x14:dxf>
          </x14:cfRule>
          <x14:cfRule type="containsText" priority="4354" operator="containsText" id="{A2DAC1BC-3005-4F09-A5A9-0808BCC33F77}">
            <xm:f>NOT(ISERROR(SEARCH($Q$12,T592)))</xm:f>
            <xm:f>$Q$12</xm:f>
            <x14:dxf>
              <fill>
                <patternFill>
                  <bgColor rgb="FFFF0000"/>
                </patternFill>
              </fill>
            </x14:dxf>
          </x14:cfRule>
          <x14:cfRule type="containsText" priority="4350" operator="containsText" id="{27D4FB67-24D0-4542-9910-6AA2E0F8FB49}">
            <xm:f>NOT(ISERROR(SEARCH($Q$12,T592)))</xm:f>
            <xm:f>$Q$12</xm:f>
            <x14:dxf>
              <fill>
                <patternFill>
                  <bgColor theme="9" tint="0.59996337778862885"/>
                </patternFill>
              </fill>
            </x14:dxf>
          </x14:cfRule>
          <x14:cfRule type="containsText" priority="4342" operator="containsText" id="{17C487DF-FEFD-4DA4-B724-07CFC100EB18}">
            <xm:f>NOT(ISERROR(SEARCH($Q$12,T592)))</xm:f>
            <xm:f>$Q$12</xm:f>
            <x14:dxf>
              <fill>
                <patternFill>
                  <bgColor rgb="FFFFFF00"/>
                </patternFill>
              </fill>
            </x14:dxf>
          </x14:cfRule>
          <x14:cfRule type="containsText" priority="4343" operator="containsText" id="{98FD7AF3-7EB5-4F22-B601-D994925F4319}">
            <xm:f>NOT(ISERROR(SEARCH($Q$12,T592)))</xm:f>
            <xm:f>$Q$12</xm:f>
            <x14:dxf>
              <fill>
                <patternFill>
                  <bgColor theme="9" tint="0.79998168889431442"/>
                </patternFill>
              </fill>
            </x14:dxf>
          </x14:cfRule>
          <x14:cfRule type="containsText" priority="4344" operator="containsText" id="{FB34E32D-A38E-47FF-9DBD-F5FA22134E30}">
            <xm:f>NOT(ISERROR(SEARCH($Q$12,T592)))</xm:f>
            <xm:f>$Q$12</xm:f>
            <x14:dxf>
              <fill>
                <patternFill>
                  <bgColor theme="9" tint="0.39994506668294322"/>
                </patternFill>
              </fill>
            </x14:dxf>
          </x14:cfRule>
          <xm:sqref>T592</xm:sqref>
        </x14:conditionalFormatting>
        <x14:conditionalFormatting xmlns:xm="http://schemas.microsoft.com/office/excel/2006/main">
          <x14:cfRule type="containsText" priority="4301" operator="containsText" id="{F61409F7-DF53-4D18-8738-1FEB70843649}">
            <xm:f>NOT(ISERROR(SEARCH($Q$12,T602)))</xm:f>
            <xm:f>$Q$12</xm:f>
            <x14:dxf>
              <fill>
                <patternFill>
                  <bgColor rgb="FFFF0000"/>
                </patternFill>
              </fill>
            </x14:dxf>
          </x14:cfRule>
          <x14:cfRule type="containsText" priority="4302" operator="containsText" id="{3225BD1A-FB68-49AB-81FA-02F5F1B80F2E}">
            <xm:f>NOT(ISERROR(SEARCH($Q$12,T602)))</xm:f>
            <xm:f>$Q$12</xm:f>
            <x14:dxf>
              <fill>
                <patternFill>
                  <bgColor theme="9" tint="0.59996337778862885"/>
                </patternFill>
              </fill>
            </x14:dxf>
          </x14:cfRule>
          <x14:cfRule type="containsText" priority="4305" operator="containsText" id="{D9CB6B74-4E42-40DD-9C68-164E09F0468D}">
            <xm:f>NOT(ISERROR(SEARCH($Q$12,T602)))</xm:f>
            <xm:f>$Q$12</xm:f>
            <x14:dxf>
              <fill>
                <patternFill>
                  <bgColor rgb="FFFFC000"/>
                </patternFill>
              </fill>
            </x14:dxf>
          </x14:cfRule>
          <x14:cfRule type="containsText" priority="4299" operator="containsText" id="{4A298AF0-2103-47B3-AFF6-7FF5B6B05847}">
            <xm:f>NOT(ISERROR(SEARCH($Q$12,T602)))</xm:f>
            <xm:f>$Q$12</xm:f>
            <x14:dxf>
              <fill>
                <patternFill>
                  <bgColor rgb="FFFFFF00"/>
                </patternFill>
              </fill>
            </x14:dxf>
          </x14:cfRule>
          <x14:cfRule type="containsText" priority="4304" operator="containsText" id="{D9910070-7A13-4476-B975-733A8DC67148}">
            <xm:f>NOT(ISERROR(SEARCH($Q$12,T602)))</xm:f>
            <xm:f>$Q$12</xm:f>
            <x14:dxf>
              <fill>
                <patternFill>
                  <bgColor rgb="FFFFFF00"/>
                </patternFill>
              </fill>
            </x14:dxf>
          </x14:cfRule>
          <x14:cfRule type="containsText" priority="4303" operator="containsText" id="{EDB0FD06-BDBE-4917-B4C7-D08CBF15AC02}">
            <xm:f>NOT(ISERROR(SEARCH($Q$12,T602)))</xm:f>
            <xm:f>$Q$12</xm:f>
            <x14:dxf>
              <fill>
                <patternFill>
                  <bgColor theme="9"/>
                </patternFill>
              </fill>
            </x14:dxf>
          </x14:cfRule>
          <x14:cfRule type="containsText" priority="4300" operator="containsText" id="{4E72C1B9-4ABA-4BDA-B898-4AE7EE1779D8}">
            <xm:f>NOT(ISERROR(SEARCH($Q$12,T602)))</xm:f>
            <xm:f>$Q$12</xm:f>
            <x14:dxf>
              <fill>
                <patternFill>
                  <bgColor rgb="FFFFC000"/>
                </patternFill>
              </fill>
            </x14:dxf>
          </x14:cfRule>
          <x14:cfRule type="containsText" priority="4298" operator="containsText" id="{CD020517-A537-47B3-8724-9AC6E77326D5}">
            <xm:f>NOT(ISERROR(SEARCH($Q$12,T602)))</xm:f>
            <xm:f>$Q$12</xm:f>
            <x14:dxf/>
          </x14:cfRule>
          <x14:cfRule type="containsText" priority="4297" operator="containsText" id="{C15CEB95-9631-4B80-9832-924145085E35}">
            <xm:f>NOT(ISERROR(SEARCH($Q$12,T602)))</xm:f>
            <xm:f>$Q$12</xm:f>
            <x14:dxf>
              <fill>
                <patternFill>
                  <bgColor rgb="FF00B050"/>
                </patternFill>
              </fill>
            </x14:dxf>
          </x14:cfRule>
          <x14:cfRule type="containsText" priority="4296" operator="containsText" id="{E36CE86C-C1DE-45A8-AA4B-048D1D758AFE}">
            <xm:f>NOT(ISERROR(SEARCH($Q$12,T602)))</xm:f>
            <xm:f>$Q$12</xm:f>
            <x14:dxf>
              <fill>
                <patternFill>
                  <bgColor theme="9" tint="0.39994506668294322"/>
                </patternFill>
              </fill>
            </x14:dxf>
          </x14:cfRule>
          <x14:cfRule type="containsText" priority="4295" operator="containsText" id="{CCE84E64-3DE6-4A4B-9AC1-19C9CA5A6A6F}">
            <xm:f>NOT(ISERROR(SEARCH($Q$12,T602)))</xm:f>
            <xm:f>$Q$12</xm:f>
            <x14:dxf>
              <fill>
                <patternFill>
                  <bgColor theme="9" tint="0.79998168889431442"/>
                </patternFill>
              </fill>
            </x14:dxf>
          </x14:cfRule>
          <x14:cfRule type="containsText" priority="4294" operator="containsText" id="{811F2C66-9A9A-4247-8D28-15A8EC1253F8}">
            <xm:f>NOT(ISERROR(SEARCH($Q$12,T602)))</xm:f>
            <xm:f>$Q$12</xm:f>
            <x14:dxf>
              <fill>
                <patternFill>
                  <bgColor rgb="FFFFFF00"/>
                </patternFill>
              </fill>
            </x14:dxf>
          </x14:cfRule>
          <x14:cfRule type="containsText" priority="4306" operator="containsText" id="{EC579F29-6C9C-49BB-BAD5-C61BC7E4E6D0}">
            <xm:f>NOT(ISERROR(SEARCH($Q$12,T602)))</xm:f>
            <xm:f>$Q$12</xm:f>
            <x14:dxf>
              <fill>
                <patternFill>
                  <bgColor rgb="FFFF0000"/>
                </patternFill>
              </fill>
            </x14:dxf>
          </x14:cfRule>
          <xm:sqref>T602</xm:sqref>
        </x14:conditionalFormatting>
        <x14:conditionalFormatting xmlns:xm="http://schemas.microsoft.com/office/excel/2006/main">
          <x14:cfRule type="containsText" priority="3816" operator="containsText" id="{95CE5CEC-D412-4DEB-9038-14F00826F625}">
            <xm:f>NOT(ISERROR(SEARCH($Q$12,T642)))</xm:f>
            <xm:f>$Q$12</xm:f>
            <x14:dxf/>
          </x14:cfRule>
          <x14:cfRule type="containsText" priority="3817" operator="containsText" id="{3033479A-D257-4566-8DF3-5739A9BFB9A8}">
            <xm:f>NOT(ISERROR(SEARCH($Q$12,T642)))</xm:f>
            <xm:f>$Q$12</xm:f>
            <x14:dxf>
              <fill>
                <patternFill>
                  <bgColor rgb="FFFFFF00"/>
                </patternFill>
              </fill>
            </x14:dxf>
          </x14:cfRule>
          <x14:cfRule type="containsText" priority="3818" operator="containsText" id="{CC1038CD-0BAA-4956-93E4-C26363AC87AF}">
            <xm:f>NOT(ISERROR(SEARCH($Q$12,T642)))</xm:f>
            <xm:f>$Q$12</xm:f>
            <x14:dxf>
              <fill>
                <patternFill>
                  <bgColor rgb="FFFFC000"/>
                </patternFill>
              </fill>
            </x14:dxf>
          </x14:cfRule>
          <x14:cfRule type="containsText" priority="3819" operator="containsText" id="{F3E8A980-CCAC-4083-8AF1-CA41EF7D3238}">
            <xm:f>NOT(ISERROR(SEARCH($Q$12,T642)))</xm:f>
            <xm:f>$Q$12</xm:f>
            <x14:dxf>
              <fill>
                <patternFill>
                  <bgColor rgb="FFFF0000"/>
                </patternFill>
              </fill>
            </x14:dxf>
          </x14:cfRule>
          <x14:cfRule type="containsText" priority="3823" operator="containsText" id="{27C2B1E5-FF0A-4235-9B4B-03A4DCD5216D}">
            <xm:f>NOT(ISERROR(SEARCH($Q$12,T642)))</xm:f>
            <xm:f>$Q$12</xm:f>
            <x14:dxf>
              <fill>
                <patternFill>
                  <bgColor rgb="FFFFC000"/>
                </patternFill>
              </fill>
            </x14:dxf>
          </x14:cfRule>
          <x14:cfRule type="containsText" priority="3820" operator="containsText" id="{79768B2D-92F2-40A6-AA4B-18D26C5056CE}">
            <xm:f>NOT(ISERROR(SEARCH($Q$12,T642)))</xm:f>
            <xm:f>$Q$12</xm:f>
            <x14:dxf>
              <fill>
                <patternFill>
                  <bgColor theme="9" tint="0.59996337778862885"/>
                </patternFill>
              </fill>
            </x14:dxf>
          </x14:cfRule>
          <x14:cfRule type="containsText" priority="3821" operator="containsText" id="{1DF2D928-8731-494C-98B9-E2E0BD9DE7CE}">
            <xm:f>NOT(ISERROR(SEARCH($Q$12,T642)))</xm:f>
            <xm:f>$Q$12</xm:f>
            <x14:dxf>
              <fill>
                <patternFill>
                  <bgColor theme="9"/>
                </patternFill>
              </fill>
            </x14:dxf>
          </x14:cfRule>
          <x14:cfRule type="containsText" priority="3822" operator="containsText" id="{764EA6A8-B050-4628-8971-067FDF5E3E01}">
            <xm:f>NOT(ISERROR(SEARCH($Q$12,T642)))</xm:f>
            <xm:f>$Q$12</xm:f>
            <x14:dxf>
              <fill>
                <patternFill>
                  <bgColor rgb="FFFFFF00"/>
                </patternFill>
              </fill>
            </x14:dxf>
          </x14:cfRule>
          <x14:cfRule type="containsText" priority="3812" operator="containsText" id="{7CCF08A8-7AF3-4786-A9BE-2E8B4A386DC9}">
            <xm:f>NOT(ISERROR(SEARCH($Q$12,T642)))</xm:f>
            <xm:f>$Q$12</xm:f>
            <x14:dxf>
              <fill>
                <patternFill>
                  <bgColor rgb="FFFFFF00"/>
                </patternFill>
              </fill>
            </x14:dxf>
          </x14:cfRule>
          <x14:cfRule type="containsText" priority="3815" operator="containsText" id="{63B5B0B9-6675-41F5-A788-D6931A92D902}">
            <xm:f>NOT(ISERROR(SEARCH($Q$12,T642)))</xm:f>
            <xm:f>$Q$12</xm:f>
            <x14:dxf>
              <fill>
                <patternFill>
                  <bgColor rgb="FF00B050"/>
                </patternFill>
              </fill>
            </x14:dxf>
          </x14:cfRule>
          <x14:cfRule type="containsText" priority="3813" operator="containsText" id="{63B40BF1-B760-48C7-B61B-B9B6426D0823}">
            <xm:f>NOT(ISERROR(SEARCH($Q$12,T642)))</xm:f>
            <xm:f>$Q$12</xm:f>
            <x14:dxf>
              <fill>
                <patternFill>
                  <bgColor theme="9" tint="0.79998168889431442"/>
                </patternFill>
              </fill>
            </x14:dxf>
          </x14:cfRule>
          <x14:cfRule type="containsText" priority="3824" operator="containsText" id="{C74D7974-38A7-4F26-8932-5430B90E6A14}">
            <xm:f>NOT(ISERROR(SEARCH($Q$12,T642)))</xm:f>
            <xm:f>$Q$12</xm:f>
            <x14:dxf>
              <fill>
                <patternFill>
                  <bgColor rgb="FFFF0000"/>
                </patternFill>
              </fill>
            </x14:dxf>
          </x14:cfRule>
          <x14:cfRule type="containsText" priority="3814" operator="containsText" id="{F3E61646-41E4-429B-A1D8-D0D3E91FD2DA}">
            <xm:f>NOT(ISERROR(SEARCH($Q$12,T642)))</xm:f>
            <xm:f>$Q$12</xm:f>
            <x14:dxf>
              <fill>
                <patternFill>
                  <bgColor theme="9" tint="0.39994506668294322"/>
                </patternFill>
              </fill>
            </x14:dxf>
          </x14:cfRule>
          <xm:sqref>T642</xm:sqref>
        </x14:conditionalFormatting>
        <x14:conditionalFormatting xmlns:xm="http://schemas.microsoft.com/office/excel/2006/main">
          <x14:cfRule type="containsText" priority="3392" operator="containsText" id="{88ED5458-F6B1-4237-82C0-2DC7E1DB070E}">
            <xm:f>NOT(ISERROR(SEARCH($Q$12,T672)))</xm:f>
            <xm:f>$Q$12</xm:f>
            <x14:dxf>
              <fill>
                <patternFill>
                  <bgColor rgb="FFFFFF00"/>
                </patternFill>
              </fill>
            </x14:dxf>
          </x14:cfRule>
          <x14:cfRule type="containsText" priority="3393" operator="containsText" id="{2256910B-2763-44F2-8AD0-02E98FF2EDE0}">
            <xm:f>NOT(ISERROR(SEARCH($Q$12,T672)))</xm:f>
            <xm:f>$Q$12</xm:f>
            <x14:dxf>
              <fill>
                <patternFill>
                  <bgColor theme="9" tint="0.79998168889431442"/>
                </patternFill>
              </fill>
            </x14:dxf>
          </x14:cfRule>
          <x14:cfRule type="containsText" priority="3394" operator="containsText" id="{11241DD9-3C70-45D8-9E82-1CB16CDCE232}">
            <xm:f>NOT(ISERROR(SEARCH($Q$12,T672)))</xm:f>
            <xm:f>$Q$12</xm:f>
            <x14:dxf>
              <fill>
                <patternFill>
                  <bgColor theme="9" tint="0.39994506668294322"/>
                </patternFill>
              </fill>
            </x14:dxf>
          </x14:cfRule>
          <x14:cfRule type="containsText" priority="3395" operator="containsText" id="{34EC1B1A-8071-42BE-9F67-E935F7341E11}">
            <xm:f>NOT(ISERROR(SEARCH($Q$12,T672)))</xm:f>
            <xm:f>$Q$12</xm:f>
            <x14:dxf>
              <fill>
                <patternFill>
                  <bgColor rgb="FF00B050"/>
                </patternFill>
              </fill>
            </x14:dxf>
          </x14:cfRule>
          <x14:cfRule type="containsText" priority="3401" operator="containsText" id="{9B5DB4D1-E674-47F1-B332-F45445FC1721}">
            <xm:f>NOT(ISERROR(SEARCH($Q$12,T672)))</xm:f>
            <xm:f>$Q$12</xm:f>
            <x14:dxf>
              <fill>
                <patternFill>
                  <bgColor theme="9"/>
                </patternFill>
              </fill>
            </x14:dxf>
          </x14:cfRule>
          <x14:cfRule type="containsText" priority="3402" operator="containsText" id="{6CF43F1E-9FE3-4AF2-A8D8-24BF95F01722}">
            <xm:f>NOT(ISERROR(SEARCH($Q$12,T672)))</xm:f>
            <xm:f>$Q$12</xm:f>
            <x14:dxf>
              <fill>
                <patternFill>
                  <bgColor rgb="FFFFFF00"/>
                </patternFill>
              </fill>
            </x14:dxf>
          </x14:cfRule>
          <x14:cfRule type="containsText" priority="3403" operator="containsText" id="{1777B228-F095-4FE9-A1CE-AF3986B59DA9}">
            <xm:f>NOT(ISERROR(SEARCH($Q$12,T672)))</xm:f>
            <xm:f>$Q$12</xm:f>
            <x14:dxf>
              <fill>
                <patternFill>
                  <bgColor rgb="FFFFC000"/>
                </patternFill>
              </fill>
            </x14:dxf>
          </x14:cfRule>
          <x14:cfRule type="containsText" priority="3400" operator="containsText" id="{42BF1D95-AF8A-4759-88A7-657557F989D7}">
            <xm:f>NOT(ISERROR(SEARCH($Q$12,T672)))</xm:f>
            <xm:f>$Q$12</xm:f>
            <x14:dxf>
              <fill>
                <patternFill>
                  <bgColor theme="9" tint="0.59996337778862885"/>
                </patternFill>
              </fill>
            </x14:dxf>
          </x14:cfRule>
          <x14:cfRule type="containsText" priority="3396" operator="containsText" id="{27640069-39A2-4104-8F73-3359143AC3A0}">
            <xm:f>NOT(ISERROR(SEARCH($Q$12,T672)))</xm:f>
            <xm:f>$Q$12</xm:f>
            <x14:dxf/>
          </x14:cfRule>
          <x14:cfRule type="containsText" priority="3397" operator="containsText" id="{BB169705-E754-4B97-845A-B5693478896E}">
            <xm:f>NOT(ISERROR(SEARCH($Q$12,T672)))</xm:f>
            <xm:f>$Q$12</xm:f>
            <x14:dxf>
              <fill>
                <patternFill>
                  <bgColor rgb="FFFFFF00"/>
                </patternFill>
              </fill>
            </x14:dxf>
          </x14:cfRule>
          <x14:cfRule type="containsText" priority="3398" operator="containsText" id="{68E79D9A-C948-412A-A046-FBE499FBD0CC}">
            <xm:f>NOT(ISERROR(SEARCH($Q$12,T672)))</xm:f>
            <xm:f>$Q$12</xm:f>
            <x14:dxf>
              <fill>
                <patternFill>
                  <bgColor rgb="FFFFC000"/>
                </patternFill>
              </fill>
            </x14:dxf>
          </x14:cfRule>
          <x14:cfRule type="containsText" priority="3404" operator="containsText" id="{E190A1C4-3ED1-4CFE-B315-830447A085C2}">
            <xm:f>NOT(ISERROR(SEARCH($Q$12,T672)))</xm:f>
            <xm:f>$Q$12</xm:f>
            <x14:dxf>
              <fill>
                <patternFill>
                  <bgColor rgb="FFFF0000"/>
                </patternFill>
              </fill>
            </x14:dxf>
          </x14:cfRule>
          <x14:cfRule type="containsText" priority="3399" operator="containsText" id="{75D2C809-920E-4596-8FD4-C0F56A8F06F7}">
            <xm:f>NOT(ISERROR(SEARCH($Q$12,T672)))</xm:f>
            <xm:f>$Q$12</xm:f>
            <x14:dxf>
              <fill>
                <patternFill>
                  <bgColor rgb="FFFF0000"/>
                </patternFill>
              </fill>
            </x14:dxf>
          </x14:cfRule>
          <xm:sqref>T672</xm:sqref>
        </x14:conditionalFormatting>
        <x14:conditionalFormatting xmlns:xm="http://schemas.microsoft.com/office/excel/2006/main">
          <x14:cfRule type="containsText" priority="3345" operator="containsText" id="{F2B1D53B-CAE8-49F4-8472-5123F2801779}">
            <xm:f>NOT(ISERROR(SEARCH($Q$12,T682)))</xm:f>
            <xm:f>$Q$12</xm:f>
            <x14:dxf>
              <fill>
                <patternFill>
                  <bgColor theme="9" tint="0.79998168889431442"/>
                </patternFill>
              </fill>
            </x14:dxf>
          </x14:cfRule>
          <x14:cfRule type="containsText" priority="3350" operator="containsText" id="{C7BDA90E-D19F-494F-B13A-6E4F7EDCB23A}">
            <xm:f>NOT(ISERROR(SEARCH($Q$12,T682)))</xm:f>
            <xm:f>$Q$12</xm:f>
            <x14:dxf>
              <fill>
                <patternFill>
                  <bgColor rgb="FFFFC000"/>
                </patternFill>
              </fill>
            </x14:dxf>
          </x14:cfRule>
          <x14:cfRule type="containsText" priority="3351" operator="containsText" id="{26D56E3F-0373-4065-A801-CA2636C079C2}">
            <xm:f>NOT(ISERROR(SEARCH($Q$12,T682)))</xm:f>
            <xm:f>$Q$12</xm:f>
            <x14:dxf>
              <fill>
                <patternFill>
                  <bgColor rgb="FFFF0000"/>
                </patternFill>
              </fill>
            </x14:dxf>
          </x14:cfRule>
          <x14:cfRule type="containsText" priority="3352" operator="containsText" id="{1FA6F03F-5881-47A7-982A-37EBE84B6AB4}">
            <xm:f>NOT(ISERROR(SEARCH($Q$12,T682)))</xm:f>
            <xm:f>$Q$12</xm:f>
            <x14:dxf>
              <fill>
                <patternFill>
                  <bgColor theme="9" tint="0.59996337778862885"/>
                </patternFill>
              </fill>
            </x14:dxf>
          </x14:cfRule>
          <x14:cfRule type="containsText" priority="3353" operator="containsText" id="{612E1749-7C82-41C2-BD62-F48943157741}">
            <xm:f>NOT(ISERROR(SEARCH($Q$12,T682)))</xm:f>
            <xm:f>$Q$12</xm:f>
            <x14:dxf>
              <fill>
                <patternFill>
                  <bgColor theme="9"/>
                </patternFill>
              </fill>
            </x14:dxf>
          </x14:cfRule>
          <x14:cfRule type="containsText" priority="3354" operator="containsText" id="{907E3090-6174-4BCE-97CA-9337F8A8D6F7}">
            <xm:f>NOT(ISERROR(SEARCH($Q$12,T682)))</xm:f>
            <xm:f>$Q$12</xm:f>
            <x14:dxf>
              <fill>
                <patternFill>
                  <bgColor rgb="FFFFFF00"/>
                </patternFill>
              </fill>
            </x14:dxf>
          </x14:cfRule>
          <x14:cfRule type="containsText" priority="3355" operator="containsText" id="{A422B6CF-834F-4907-9BF7-08105A7BEB51}">
            <xm:f>NOT(ISERROR(SEARCH($Q$12,T682)))</xm:f>
            <xm:f>$Q$12</xm:f>
            <x14:dxf>
              <fill>
                <patternFill>
                  <bgColor rgb="FFFFC000"/>
                </patternFill>
              </fill>
            </x14:dxf>
          </x14:cfRule>
          <x14:cfRule type="containsText" priority="3356" operator="containsText" id="{A4D41E78-F84D-4F08-8D66-61229C399189}">
            <xm:f>NOT(ISERROR(SEARCH($Q$12,T682)))</xm:f>
            <xm:f>$Q$12</xm:f>
            <x14:dxf>
              <fill>
                <patternFill>
                  <bgColor rgb="FFFF0000"/>
                </patternFill>
              </fill>
            </x14:dxf>
          </x14:cfRule>
          <x14:cfRule type="containsText" priority="3344" operator="containsText" id="{8DBD7CBF-7CC4-4AD0-A24C-7886D16FE273}">
            <xm:f>NOT(ISERROR(SEARCH($Q$12,T682)))</xm:f>
            <xm:f>$Q$12</xm:f>
            <x14:dxf>
              <fill>
                <patternFill>
                  <bgColor rgb="FFFFFF00"/>
                </patternFill>
              </fill>
            </x14:dxf>
          </x14:cfRule>
          <x14:cfRule type="containsText" priority="3346" operator="containsText" id="{D1247F65-667B-4265-86BE-633F0538E862}">
            <xm:f>NOT(ISERROR(SEARCH($Q$12,T682)))</xm:f>
            <xm:f>$Q$12</xm:f>
            <x14:dxf>
              <fill>
                <patternFill>
                  <bgColor theme="9" tint="0.39994506668294322"/>
                </patternFill>
              </fill>
            </x14:dxf>
          </x14:cfRule>
          <x14:cfRule type="containsText" priority="3348" operator="containsText" id="{0DDCA885-4E49-448B-B7D0-800ED8620295}">
            <xm:f>NOT(ISERROR(SEARCH($Q$12,T682)))</xm:f>
            <xm:f>$Q$12</xm:f>
            <x14:dxf/>
          </x14:cfRule>
          <x14:cfRule type="containsText" priority="3347" operator="containsText" id="{80906826-3599-4BCF-BB1A-5CC8E4C8E221}">
            <xm:f>NOT(ISERROR(SEARCH($Q$12,T682)))</xm:f>
            <xm:f>$Q$12</xm:f>
            <x14:dxf>
              <fill>
                <patternFill>
                  <bgColor rgb="FF00B050"/>
                </patternFill>
              </fill>
            </x14:dxf>
          </x14:cfRule>
          <x14:cfRule type="containsText" priority="3349" operator="containsText" id="{BCC41214-7D86-472C-9465-F812FEFFD263}">
            <xm:f>NOT(ISERROR(SEARCH($Q$12,T682)))</xm:f>
            <xm:f>$Q$12</xm:f>
            <x14:dxf>
              <fill>
                <patternFill>
                  <bgColor rgb="FFFFFF00"/>
                </patternFill>
              </fill>
            </x14:dxf>
          </x14:cfRule>
          <xm:sqref>T682</xm:sqref>
        </x14:conditionalFormatting>
        <x14:conditionalFormatting xmlns:xm="http://schemas.microsoft.com/office/excel/2006/main">
          <x14:cfRule type="containsText" priority="3305" operator="containsText" id="{B8BE7F67-FDC4-49D4-B419-0BC0F36DB79B}">
            <xm:f>NOT(ISERROR(SEARCH($Q$12,T692)))</xm:f>
            <xm:f>$Q$12</xm:f>
            <x14:dxf>
              <fill>
                <patternFill>
                  <bgColor theme="9"/>
                </patternFill>
              </fill>
            </x14:dxf>
          </x14:cfRule>
          <x14:cfRule type="containsText" priority="3306" operator="containsText" id="{FBC845B3-8F84-4708-A3E5-6A66851986F7}">
            <xm:f>NOT(ISERROR(SEARCH($Q$12,T692)))</xm:f>
            <xm:f>$Q$12</xm:f>
            <x14:dxf>
              <fill>
                <patternFill>
                  <bgColor rgb="FFFFFF00"/>
                </patternFill>
              </fill>
            </x14:dxf>
          </x14:cfRule>
          <x14:cfRule type="containsText" priority="3307" operator="containsText" id="{EF7339CA-E4A5-4791-A9E5-ECBC5F0DE4B8}">
            <xm:f>NOT(ISERROR(SEARCH($Q$12,T692)))</xm:f>
            <xm:f>$Q$12</xm:f>
            <x14:dxf>
              <fill>
                <patternFill>
                  <bgColor rgb="FFFFC000"/>
                </patternFill>
              </fill>
            </x14:dxf>
          </x14:cfRule>
          <x14:cfRule type="containsText" priority="3308" operator="containsText" id="{6F5B7919-F407-4AC4-972D-CA1A77DD3CDC}">
            <xm:f>NOT(ISERROR(SEARCH($Q$12,T692)))</xm:f>
            <xm:f>$Q$12</xm:f>
            <x14:dxf>
              <fill>
                <patternFill>
                  <bgColor rgb="FFFF0000"/>
                </patternFill>
              </fill>
            </x14:dxf>
          </x14:cfRule>
          <x14:cfRule type="containsText" priority="3296" operator="containsText" id="{F7E18F13-7C46-4DC6-861D-3C39FE6232EA}">
            <xm:f>NOT(ISERROR(SEARCH($Q$12,T692)))</xm:f>
            <xm:f>$Q$12</xm:f>
            <x14:dxf>
              <fill>
                <patternFill>
                  <bgColor rgb="FFFFFF00"/>
                </patternFill>
              </fill>
            </x14:dxf>
          </x14:cfRule>
          <x14:cfRule type="containsText" priority="3297" operator="containsText" id="{744674FB-BB73-4FCF-B4E7-08A60FBA37AB}">
            <xm:f>NOT(ISERROR(SEARCH($Q$12,T692)))</xm:f>
            <xm:f>$Q$12</xm:f>
            <x14:dxf>
              <fill>
                <patternFill>
                  <bgColor theme="9" tint="0.79998168889431442"/>
                </patternFill>
              </fill>
            </x14:dxf>
          </x14:cfRule>
          <x14:cfRule type="containsText" priority="3298" operator="containsText" id="{5935C651-2FE9-443A-9277-A425A6242391}">
            <xm:f>NOT(ISERROR(SEARCH($Q$12,T692)))</xm:f>
            <xm:f>$Q$12</xm:f>
            <x14:dxf>
              <fill>
                <patternFill>
                  <bgColor theme="9" tint="0.39994506668294322"/>
                </patternFill>
              </fill>
            </x14:dxf>
          </x14:cfRule>
          <x14:cfRule type="containsText" priority="3299" operator="containsText" id="{4950935A-33D6-4C91-9F26-C0FA0277ED15}">
            <xm:f>NOT(ISERROR(SEARCH($Q$12,T692)))</xm:f>
            <xm:f>$Q$12</xm:f>
            <x14:dxf>
              <fill>
                <patternFill>
                  <bgColor rgb="FF00B050"/>
                </patternFill>
              </fill>
            </x14:dxf>
          </x14:cfRule>
          <x14:cfRule type="containsText" priority="3300" operator="containsText" id="{B445EF70-0D8D-476B-99DF-D94937EBF839}">
            <xm:f>NOT(ISERROR(SEARCH($Q$12,T692)))</xm:f>
            <xm:f>$Q$12</xm:f>
            <x14:dxf/>
          </x14:cfRule>
          <x14:cfRule type="containsText" priority="3301" operator="containsText" id="{24C1C343-8A28-4D14-A5FA-A06C9E376E80}">
            <xm:f>NOT(ISERROR(SEARCH($Q$12,T692)))</xm:f>
            <xm:f>$Q$12</xm:f>
            <x14:dxf>
              <fill>
                <patternFill>
                  <bgColor rgb="FFFFFF00"/>
                </patternFill>
              </fill>
            </x14:dxf>
          </x14:cfRule>
          <x14:cfRule type="containsText" priority="3302" operator="containsText" id="{473164DF-6B70-4973-9D8B-075BE698683F}">
            <xm:f>NOT(ISERROR(SEARCH($Q$12,T692)))</xm:f>
            <xm:f>$Q$12</xm:f>
            <x14:dxf>
              <fill>
                <patternFill>
                  <bgColor rgb="FFFFC000"/>
                </patternFill>
              </fill>
            </x14:dxf>
          </x14:cfRule>
          <x14:cfRule type="containsText" priority="3303" operator="containsText" id="{B6DAF355-693B-448F-BA5B-7E1B69B7C2BB}">
            <xm:f>NOT(ISERROR(SEARCH($Q$12,T692)))</xm:f>
            <xm:f>$Q$12</xm:f>
            <x14:dxf>
              <fill>
                <patternFill>
                  <bgColor rgb="FFFF0000"/>
                </patternFill>
              </fill>
            </x14:dxf>
          </x14:cfRule>
          <x14:cfRule type="containsText" priority="3304" operator="containsText" id="{29292C7A-D7D5-46D2-B634-97C3E9E78028}">
            <xm:f>NOT(ISERROR(SEARCH($Q$12,T692)))</xm:f>
            <xm:f>$Q$12</xm:f>
            <x14:dxf>
              <fill>
                <patternFill>
                  <bgColor theme="9" tint="0.59996337778862885"/>
                </patternFill>
              </fill>
            </x14:dxf>
          </x14:cfRule>
          <xm:sqref>T692</xm:sqref>
        </x14:conditionalFormatting>
        <x14:conditionalFormatting xmlns:xm="http://schemas.microsoft.com/office/excel/2006/main">
          <x14:cfRule type="containsText" priority="3255" operator="containsText" id="{D472D92C-6747-418F-9A44-157D90D2360B}">
            <xm:f>NOT(ISERROR(SEARCH($Q$12,T702)))</xm:f>
            <xm:f>$Q$12</xm:f>
            <x14:dxf>
              <fill>
                <patternFill>
                  <bgColor rgb="FFFF0000"/>
                </patternFill>
              </fill>
            </x14:dxf>
          </x14:cfRule>
          <x14:cfRule type="containsText" priority="3249" operator="containsText" id="{10633C7F-6A74-452F-97B7-FE117C18C456}">
            <xm:f>NOT(ISERROR(SEARCH($Q$12,T702)))</xm:f>
            <xm:f>$Q$12</xm:f>
            <x14:dxf>
              <fill>
                <patternFill>
                  <bgColor theme="9" tint="0.79998168889431442"/>
                </patternFill>
              </fill>
            </x14:dxf>
          </x14:cfRule>
          <x14:cfRule type="containsText" priority="3248" operator="containsText" id="{CC465703-0E3E-49D6-8F3D-CFF0351DC566}">
            <xm:f>NOT(ISERROR(SEARCH($Q$12,T702)))</xm:f>
            <xm:f>$Q$12</xm:f>
            <x14:dxf>
              <fill>
                <patternFill>
                  <bgColor rgb="FFFFFF00"/>
                </patternFill>
              </fill>
            </x14:dxf>
          </x14:cfRule>
          <x14:cfRule type="containsText" priority="3260" operator="containsText" id="{43829CF1-D56F-40F8-9F1A-3EADCD3A76D5}">
            <xm:f>NOT(ISERROR(SEARCH($Q$12,T702)))</xm:f>
            <xm:f>$Q$12</xm:f>
            <x14:dxf>
              <fill>
                <patternFill>
                  <bgColor rgb="FFFF0000"/>
                </patternFill>
              </fill>
            </x14:dxf>
          </x14:cfRule>
          <x14:cfRule type="containsText" priority="3259" operator="containsText" id="{DDF6A389-6687-4B07-A104-7EC445624C11}">
            <xm:f>NOT(ISERROR(SEARCH($Q$12,T702)))</xm:f>
            <xm:f>$Q$12</xm:f>
            <x14:dxf>
              <fill>
                <patternFill>
                  <bgColor rgb="FFFFC000"/>
                </patternFill>
              </fill>
            </x14:dxf>
          </x14:cfRule>
          <x14:cfRule type="containsText" priority="3258" operator="containsText" id="{7958AB1F-F7C1-4D0A-B126-1BDE6DD4EC99}">
            <xm:f>NOT(ISERROR(SEARCH($Q$12,T702)))</xm:f>
            <xm:f>$Q$12</xm:f>
            <x14:dxf>
              <fill>
                <patternFill>
                  <bgColor rgb="FFFFFF00"/>
                </patternFill>
              </fill>
            </x14:dxf>
          </x14:cfRule>
          <x14:cfRule type="containsText" priority="3257" operator="containsText" id="{8978FB07-DE0C-4BF3-83C9-293DFD65EDD7}">
            <xm:f>NOT(ISERROR(SEARCH($Q$12,T702)))</xm:f>
            <xm:f>$Q$12</xm:f>
            <x14:dxf>
              <fill>
                <patternFill>
                  <bgColor theme="9"/>
                </patternFill>
              </fill>
            </x14:dxf>
          </x14:cfRule>
          <x14:cfRule type="containsText" priority="3256" operator="containsText" id="{46746DFA-8856-4DF3-9BA0-3EE7B036078E}">
            <xm:f>NOT(ISERROR(SEARCH($Q$12,T702)))</xm:f>
            <xm:f>$Q$12</xm:f>
            <x14:dxf>
              <fill>
                <patternFill>
                  <bgColor theme="9" tint="0.59996337778862885"/>
                </patternFill>
              </fill>
            </x14:dxf>
          </x14:cfRule>
          <x14:cfRule type="containsText" priority="3254" operator="containsText" id="{ED615E67-94C3-4C6E-BA56-EC8C77FB22C1}">
            <xm:f>NOT(ISERROR(SEARCH($Q$12,T702)))</xm:f>
            <xm:f>$Q$12</xm:f>
            <x14:dxf>
              <fill>
                <patternFill>
                  <bgColor rgb="FFFFC000"/>
                </patternFill>
              </fill>
            </x14:dxf>
          </x14:cfRule>
          <x14:cfRule type="containsText" priority="3253" operator="containsText" id="{1900AAEB-E44F-45FC-8461-85E679789A1C}">
            <xm:f>NOT(ISERROR(SEARCH($Q$12,T702)))</xm:f>
            <xm:f>$Q$12</xm:f>
            <x14:dxf>
              <fill>
                <patternFill>
                  <bgColor rgb="FFFFFF00"/>
                </patternFill>
              </fill>
            </x14:dxf>
          </x14:cfRule>
          <x14:cfRule type="containsText" priority="3252" operator="containsText" id="{BAEBFDFC-6813-4235-8408-02AEAC423D0E}">
            <xm:f>NOT(ISERROR(SEARCH($Q$12,T702)))</xm:f>
            <xm:f>$Q$12</xm:f>
            <x14:dxf/>
          </x14:cfRule>
          <x14:cfRule type="containsText" priority="3251" operator="containsText" id="{5737D526-11E4-4749-82C8-500BE4E21D5D}">
            <xm:f>NOT(ISERROR(SEARCH($Q$12,T702)))</xm:f>
            <xm:f>$Q$12</xm:f>
            <x14:dxf>
              <fill>
                <patternFill>
                  <bgColor rgb="FF00B050"/>
                </patternFill>
              </fill>
            </x14:dxf>
          </x14:cfRule>
          <x14:cfRule type="containsText" priority="3250" operator="containsText" id="{90DBF844-591D-4CDD-9723-BA3789F6B5EE}">
            <xm:f>NOT(ISERROR(SEARCH($Q$12,T702)))</xm:f>
            <xm:f>$Q$12</xm:f>
            <x14:dxf>
              <fill>
                <patternFill>
                  <bgColor theme="9" tint="0.39994506668294322"/>
                </patternFill>
              </fill>
            </x14:dxf>
          </x14:cfRule>
          <xm:sqref>T702</xm:sqref>
        </x14:conditionalFormatting>
        <x14:conditionalFormatting xmlns:xm="http://schemas.microsoft.com/office/excel/2006/main">
          <x14:cfRule type="containsText" priority="3211" operator="containsText" id="{C36EC5F5-7236-4B53-BA70-97AD0A69DBAA}">
            <xm:f>NOT(ISERROR(SEARCH($Q$12,T712)))</xm:f>
            <xm:f>$Q$12</xm:f>
            <x14:dxf>
              <fill>
                <patternFill>
                  <bgColor rgb="FFFFC000"/>
                </patternFill>
              </fill>
            </x14:dxf>
          </x14:cfRule>
          <x14:cfRule type="containsText" priority="3210" operator="containsText" id="{7040FE59-5902-455A-B154-E6ADB79E82CC}">
            <xm:f>NOT(ISERROR(SEARCH($Q$12,T712)))</xm:f>
            <xm:f>$Q$12</xm:f>
            <x14:dxf>
              <fill>
                <patternFill>
                  <bgColor rgb="FFFFFF00"/>
                </patternFill>
              </fill>
            </x14:dxf>
          </x14:cfRule>
          <x14:cfRule type="containsText" priority="3208" operator="containsText" id="{029DD90C-F51A-4BCF-9C97-498B1C968E9B}">
            <xm:f>NOT(ISERROR(SEARCH($Q$12,T712)))</xm:f>
            <xm:f>$Q$12</xm:f>
            <x14:dxf>
              <fill>
                <patternFill>
                  <bgColor theme="9" tint="0.59996337778862885"/>
                </patternFill>
              </fill>
            </x14:dxf>
          </x14:cfRule>
          <x14:cfRule type="containsText" priority="3204" operator="containsText" id="{9E5C30F0-FEBD-4ABD-929F-A3D7F6A929B3}">
            <xm:f>NOT(ISERROR(SEARCH($Q$12,T712)))</xm:f>
            <xm:f>$Q$12</xm:f>
            <x14:dxf/>
          </x14:cfRule>
          <x14:cfRule type="containsText" priority="3207" operator="containsText" id="{18467F99-DA8C-429B-9B0D-47854164865C}">
            <xm:f>NOT(ISERROR(SEARCH($Q$12,T712)))</xm:f>
            <xm:f>$Q$12</xm:f>
            <x14:dxf>
              <fill>
                <patternFill>
                  <bgColor rgb="FFFF0000"/>
                </patternFill>
              </fill>
            </x14:dxf>
          </x14:cfRule>
          <x14:cfRule type="containsText" priority="3203" operator="containsText" id="{2650BF9F-CAC7-4ABE-A5E4-8CC03B33456B}">
            <xm:f>NOT(ISERROR(SEARCH($Q$12,T712)))</xm:f>
            <xm:f>$Q$12</xm:f>
            <x14:dxf>
              <fill>
                <patternFill>
                  <bgColor rgb="FF00B050"/>
                </patternFill>
              </fill>
            </x14:dxf>
          </x14:cfRule>
          <x14:cfRule type="containsText" priority="3209" operator="containsText" id="{0521D807-EFA9-4F9C-9835-39064F087199}">
            <xm:f>NOT(ISERROR(SEARCH($Q$12,T712)))</xm:f>
            <xm:f>$Q$12</xm:f>
            <x14:dxf>
              <fill>
                <patternFill>
                  <bgColor theme="9"/>
                </patternFill>
              </fill>
            </x14:dxf>
          </x14:cfRule>
          <x14:cfRule type="containsText" priority="3212" operator="containsText" id="{E030426A-6D68-497C-9319-2EB8452C31BB}">
            <xm:f>NOT(ISERROR(SEARCH($Q$12,T712)))</xm:f>
            <xm:f>$Q$12</xm:f>
            <x14:dxf>
              <fill>
                <patternFill>
                  <bgColor rgb="FFFF0000"/>
                </patternFill>
              </fill>
            </x14:dxf>
          </x14:cfRule>
          <x14:cfRule type="containsText" priority="3201" operator="containsText" id="{F73FE8D9-5FE4-4CE6-9D7E-932688D7A97A}">
            <xm:f>NOT(ISERROR(SEARCH($Q$12,T712)))</xm:f>
            <xm:f>$Q$12</xm:f>
            <x14:dxf>
              <fill>
                <patternFill>
                  <bgColor theme="9" tint="0.79998168889431442"/>
                </patternFill>
              </fill>
            </x14:dxf>
          </x14:cfRule>
          <x14:cfRule type="containsText" priority="3202" operator="containsText" id="{C615BDBC-62BD-496E-A04C-88E26BACACFF}">
            <xm:f>NOT(ISERROR(SEARCH($Q$12,T712)))</xm:f>
            <xm:f>$Q$12</xm:f>
            <x14:dxf>
              <fill>
                <patternFill>
                  <bgColor theme="9" tint="0.39994506668294322"/>
                </patternFill>
              </fill>
            </x14:dxf>
          </x14:cfRule>
          <x14:cfRule type="containsText" priority="3206" operator="containsText" id="{C8F306B3-AF19-4850-99BC-B38111EB7B81}">
            <xm:f>NOT(ISERROR(SEARCH($Q$12,T712)))</xm:f>
            <xm:f>$Q$12</xm:f>
            <x14:dxf>
              <fill>
                <patternFill>
                  <bgColor rgb="FFFFC000"/>
                </patternFill>
              </fill>
            </x14:dxf>
          </x14:cfRule>
          <x14:cfRule type="containsText" priority="3205" operator="containsText" id="{DC1C3E32-94A7-45FC-A004-9C14C4708C05}">
            <xm:f>NOT(ISERROR(SEARCH($Q$12,T712)))</xm:f>
            <xm:f>$Q$12</xm:f>
            <x14:dxf>
              <fill>
                <patternFill>
                  <bgColor rgb="FFFFFF00"/>
                </patternFill>
              </fill>
            </x14:dxf>
          </x14:cfRule>
          <x14:cfRule type="containsText" priority="3200" operator="containsText" id="{0EF7B4AF-F4C9-4243-9AA1-7C7512E00B35}">
            <xm:f>NOT(ISERROR(SEARCH($Q$12,T712)))</xm:f>
            <xm:f>$Q$12</xm:f>
            <x14:dxf>
              <fill>
                <patternFill>
                  <bgColor rgb="FFFFFF00"/>
                </patternFill>
              </fill>
            </x14:dxf>
          </x14:cfRule>
          <xm:sqref>T712</xm:sqref>
        </x14:conditionalFormatting>
        <x14:conditionalFormatting xmlns:xm="http://schemas.microsoft.com/office/excel/2006/main">
          <x14:cfRule type="containsText" priority="2776" operator="containsText" id="{4C1F1C55-D885-44B2-9281-C2B176992696}">
            <xm:f>NOT(ISERROR(SEARCH($Q$12,T732)))</xm:f>
            <xm:f>$Q$12</xm:f>
            <x14:dxf>
              <fill>
                <patternFill>
                  <bgColor rgb="FFFFC000"/>
                </patternFill>
              </fill>
            </x14:dxf>
          </x14:cfRule>
          <x14:cfRule type="containsText" priority="2775" operator="containsText" id="{234C7425-9762-43C8-A72C-73DF2FCAD127}">
            <xm:f>NOT(ISERROR(SEARCH($Q$12,T732)))</xm:f>
            <xm:f>$Q$12</xm:f>
            <x14:dxf>
              <fill>
                <patternFill>
                  <bgColor rgb="FFFFFF00"/>
                </patternFill>
              </fill>
            </x14:dxf>
          </x14:cfRule>
          <x14:cfRule type="containsText" priority="2778" operator="containsText" id="{96397768-D4A8-4ED5-BCAA-3B385568EAB6}">
            <xm:f>NOT(ISERROR(SEARCH($Q$12,T732)))</xm:f>
            <xm:f>$Q$12</xm:f>
            <x14:dxf>
              <fill>
                <patternFill>
                  <bgColor theme="9" tint="0.59996337778862885"/>
                </patternFill>
              </fill>
            </x14:dxf>
          </x14:cfRule>
          <x14:cfRule type="containsText" priority="2774" operator="containsText" id="{26E53517-7A5D-4AB2-84E0-4BDE8FA6FAE2}">
            <xm:f>NOT(ISERROR(SEARCH($Q$12,T732)))</xm:f>
            <xm:f>$Q$12</xm:f>
            <x14:dxf/>
          </x14:cfRule>
          <x14:cfRule type="containsText" priority="2773" operator="containsText" id="{F2FCE7B9-AB1C-42E6-BC2F-3A04B0F68D5B}">
            <xm:f>NOT(ISERROR(SEARCH($Q$12,T732)))</xm:f>
            <xm:f>$Q$12</xm:f>
            <x14:dxf>
              <fill>
                <patternFill>
                  <bgColor rgb="FF00B050"/>
                </patternFill>
              </fill>
            </x14:dxf>
          </x14:cfRule>
          <x14:cfRule type="containsText" priority="2772" operator="containsText" id="{CCAFFE8C-4200-4E60-8BC0-720818D5F9DC}">
            <xm:f>NOT(ISERROR(SEARCH($Q$12,T732)))</xm:f>
            <xm:f>$Q$12</xm:f>
            <x14:dxf>
              <fill>
                <patternFill>
                  <bgColor theme="9" tint="0.39994506668294322"/>
                </patternFill>
              </fill>
            </x14:dxf>
          </x14:cfRule>
          <x14:cfRule type="containsText" priority="2771" operator="containsText" id="{712CEE8A-E79F-4ADC-8BB6-244A79E57686}">
            <xm:f>NOT(ISERROR(SEARCH($Q$12,T732)))</xm:f>
            <xm:f>$Q$12</xm:f>
            <x14:dxf>
              <fill>
                <patternFill>
                  <bgColor theme="9" tint="0.79998168889431442"/>
                </patternFill>
              </fill>
            </x14:dxf>
          </x14:cfRule>
          <x14:cfRule type="containsText" priority="2770" operator="containsText" id="{E59DC394-3A23-43EB-89B2-4E0E913A9FCF}">
            <xm:f>NOT(ISERROR(SEARCH($Q$12,T732)))</xm:f>
            <xm:f>$Q$12</xm:f>
            <x14:dxf>
              <fill>
                <patternFill>
                  <bgColor rgb="FFFFFF00"/>
                </patternFill>
              </fill>
            </x14:dxf>
          </x14:cfRule>
          <x14:cfRule type="containsText" priority="2779" operator="containsText" id="{FD657734-959B-470F-A0DE-E184F3CE592D}">
            <xm:f>NOT(ISERROR(SEARCH($Q$12,T732)))</xm:f>
            <xm:f>$Q$12</xm:f>
            <x14:dxf>
              <fill>
                <patternFill>
                  <bgColor theme="9"/>
                </patternFill>
              </fill>
            </x14:dxf>
          </x14:cfRule>
          <x14:cfRule type="containsText" priority="2780" operator="containsText" id="{A934F6C8-F8D7-4A84-9BED-6023E665C911}">
            <xm:f>NOT(ISERROR(SEARCH($Q$12,T732)))</xm:f>
            <xm:f>$Q$12</xm:f>
            <x14:dxf>
              <fill>
                <patternFill>
                  <bgColor rgb="FFFFFF00"/>
                </patternFill>
              </fill>
            </x14:dxf>
          </x14:cfRule>
          <x14:cfRule type="containsText" priority="2777" operator="containsText" id="{513B4693-6C4B-4201-B4FF-EEF749B84205}">
            <xm:f>NOT(ISERROR(SEARCH($Q$12,T732)))</xm:f>
            <xm:f>$Q$12</xm:f>
            <x14:dxf>
              <fill>
                <patternFill>
                  <bgColor rgb="FFFF0000"/>
                </patternFill>
              </fill>
            </x14:dxf>
          </x14:cfRule>
          <x14:cfRule type="containsText" priority="2781" operator="containsText" id="{ECFCC24D-6149-4623-934F-22854EDE7F0F}">
            <xm:f>NOT(ISERROR(SEARCH($Q$12,T732)))</xm:f>
            <xm:f>$Q$12</xm:f>
            <x14:dxf>
              <fill>
                <patternFill>
                  <bgColor rgb="FFFFC000"/>
                </patternFill>
              </fill>
            </x14:dxf>
          </x14:cfRule>
          <x14:cfRule type="containsText" priority="2782" operator="containsText" id="{72469538-8C6B-45DC-9E26-93913C80DC15}">
            <xm:f>NOT(ISERROR(SEARCH($Q$12,T732)))</xm:f>
            <xm:f>$Q$12</xm:f>
            <x14:dxf>
              <fill>
                <patternFill>
                  <bgColor rgb="FFFF0000"/>
                </patternFill>
              </fill>
            </x14:dxf>
          </x14:cfRule>
          <xm:sqref>T732</xm:sqref>
        </x14:conditionalFormatting>
        <x14:conditionalFormatting xmlns:xm="http://schemas.microsoft.com/office/excel/2006/main">
          <x14:cfRule type="containsText" priority="2729" operator="containsText" id="{F3231633-2124-43C2-BE42-25BE48B253BD}">
            <xm:f>NOT(ISERROR(SEARCH($Q$12,T742)))</xm:f>
            <xm:f>$Q$12</xm:f>
            <x14:dxf>
              <fill>
                <patternFill>
                  <bgColor rgb="FFFF0000"/>
                </patternFill>
              </fill>
            </x14:dxf>
          </x14:cfRule>
          <x14:cfRule type="containsText" priority="2728" operator="containsText" id="{4618716E-2EBC-4761-A589-7C48197162E9}">
            <xm:f>NOT(ISERROR(SEARCH($Q$12,T742)))</xm:f>
            <xm:f>$Q$12</xm:f>
            <x14:dxf>
              <fill>
                <patternFill>
                  <bgColor rgb="FFFFC000"/>
                </patternFill>
              </fill>
            </x14:dxf>
          </x14:cfRule>
          <x14:cfRule type="containsText" priority="2727" operator="containsText" id="{BFB061B2-8BAD-478D-ADBF-A039B2B72F8E}">
            <xm:f>NOT(ISERROR(SEARCH($Q$12,T742)))</xm:f>
            <xm:f>$Q$12</xm:f>
            <x14:dxf>
              <fill>
                <patternFill>
                  <bgColor rgb="FFFFFF00"/>
                </patternFill>
              </fill>
            </x14:dxf>
          </x14:cfRule>
          <x14:cfRule type="containsText" priority="2726" operator="containsText" id="{479AEBB2-36E1-45C6-8BF0-F14747A9FAE4}">
            <xm:f>NOT(ISERROR(SEARCH($Q$12,T742)))</xm:f>
            <xm:f>$Q$12</xm:f>
            <x14:dxf/>
          </x14:cfRule>
          <x14:cfRule type="containsText" priority="2733" operator="containsText" id="{9CB9A5AE-9448-41E8-930F-B382230BDFB1}">
            <xm:f>NOT(ISERROR(SEARCH($Q$12,T742)))</xm:f>
            <xm:f>$Q$12</xm:f>
            <x14:dxf>
              <fill>
                <patternFill>
                  <bgColor rgb="FFFFC000"/>
                </patternFill>
              </fill>
            </x14:dxf>
          </x14:cfRule>
          <x14:cfRule type="containsText" priority="2732" operator="containsText" id="{162E7826-B5C9-426A-B031-A9322164A0CB}">
            <xm:f>NOT(ISERROR(SEARCH($Q$12,T742)))</xm:f>
            <xm:f>$Q$12</xm:f>
            <x14:dxf>
              <fill>
                <patternFill>
                  <bgColor rgb="FFFFFF00"/>
                </patternFill>
              </fill>
            </x14:dxf>
          </x14:cfRule>
          <x14:cfRule type="containsText" priority="2730" operator="containsText" id="{F1144DFE-B0A3-4F23-8B75-2E225A273B01}">
            <xm:f>NOT(ISERROR(SEARCH($Q$12,T742)))</xm:f>
            <xm:f>$Q$12</xm:f>
            <x14:dxf>
              <fill>
                <patternFill>
                  <bgColor theme="9" tint="0.59996337778862885"/>
                </patternFill>
              </fill>
            </x14:dxf>
          </x14:cfRule>
          <x14:cfRule type="containsText" priority="2725" operator="containsText" id="{CA44A7BB-B6EA-4EA9-845C-8BDA12FFC328}">
            <xm:f>NOT(ISERROR(SEARCH($Q$12,T742)))</xm:f>
            <xm:f>$Q$12</xm:f>
            <x14:dxf>
              <fill>
                <patternFill>
                  <bgColor rgb="FF00B050"/>
                </patternFill>
              </fill>
            </x14:dxf>
          </x14:cfRule>
          <x14:cfRule type="containsText" priority="2724" operator="containsText" id="{1912382E-8479-4A1F-9BED-ED2796BC2F2B}">
            <xm:f>NOT(ISERROR(SEARCH($Q$12,T742)))</xm:f>
            <xm:f>$Q$12</xm:f>
            <x14:dxf>
              <fill>
                <patternFill>
                  <bgColor theme="9" tint="0.39994506668294322"/>
                </patternFill>
              </fill>
            </x14:dxf>
          </x14:cfRule>
          <x14:cfRule type="containsText" priority="2723" operator="containsText" id="{37AFFD26-D390-475F-B433-150BA9C1A1DF}">
            <xm:f>NOT(ISERROR(SEARCH($Q$12,T742)))</xm:f>
            <xm:f>$Q$12</xm:f>
            <x14:dxf>
              <fill>
                <patternFill>
                  <bgColor theme="9" tint="0.79998168889431442"/>
                </patternFill>
              </fill>
            </x14:dxf>
          </x14:cfRule>
          <x14:cfRule type="containsText" priority="2722" operator="containsText" id="{63F5183C-D605-49EA-9DEF-E2A8E5071E66}">
            <xm:f>NOT(ISERROR(SEARCH($Q$12,T742)))</xm:f>
            <xm:f>$Q$12</xm:f>
            <x14:dxf>
              <fill>
                <patternFill>
                  <bgColor rgb="FFFFFF00"/>
                </patternFill>
              </fill>
            </x14:dxf>
          </x14:cfRule>
          <x14:cfRule type="containsText" priority="2731" operator="containsText" id="{2FE5E1B4-BD94-45CC-A882-95998B6B378D}">
            <xm:f>NOT(ISERROR(SEARCH($Q$12,T742)))</xm:f>
            <xm:f>$Q$12</xm:f>
            <x14:dxf>
              <fill>
                <patternFill>
                  <bgColor theme="9"/>
                </patternFill>
              </fill>
            </x14:dxf>
          </x14:cfRule>
          <x14:cfRule type="containsText" priority="2734" operator="containsText" id="{43D3AE90-FA5D-4E9F-A2E7-89E4C0A96AE8}">
            <xm:f>NOT(ISERROR(SEARCH($Q$12,T742)))</xm:f>
            <xm:f>$Q$12</xm:f>
            <x14:dxf>
              <fill>
                <patternFill>
                  <bgColor rgb="FFFF0000"/>
                </patternFill>
              </fill>
            </x14:dxf>
          </x14:cfRule>
          <xm:sqref>T742</xm:sqref>
        </x14:conditionalFormatting>
        <x14:conditionalFormatting xmlns:xm="http://schemas.microsoft.com/office/excel/2006/main">
          <x14:cfRule type="containsText" priority="2678" operator="containsText" id="{3EF46926-8502-47D0-A3EA-A9784EF671DF}">
            <xm:f>NOT(ISERROR(SEARCH($Q$12,T752)))</xm:f>
            <xm:f>$Q$12</xm:f>
            <x14:dxf/>
          </x14:cfRule>
          <x14:cfRule type="containsText" priority="2677" operator="containsText" id="{7C85548E-BD9A-45C9-8D6C-5376D0CE9F7F}">
            <xm:f>NOT(ISERROR(SEARCH($Q$12,T752)))</xm:f>
            <xm:f>$Q$12</xm:f>
            <x14:dxf>
              <fill>
                <patternFill>
                  <bgColor rgb="FF00B050"/>
                </patternFill>
              </fill>
            </x14:dxf>
          </x14:cfRule>
          <x14:cfRule type="containsText" priority="2685" operator="containsText" id="{5CC94371-6626-4822-BD1B-801D1F6806CB}">
            <xm:f>NOT(ISERROR(SEARCH($Q$12,T752)))</xm:f>
            <xm:f>$Q$12</xm:f>
            <x14:dxf>
              <fill>
                <patternFill>
                  <bgColor rgb="FFFFC000"/>
                </patternFill>
              </fill>
            </x14:dxf>
          </x14:cfRule>
          <x14:cfRule type="containsText" priority="2684" operator="containsText" id="{6D92194E-5346-4DC9-9016-343173AF5F83}">
            <xm:f>NOT(ISERROR(SEARCH($Q$12,T752)))</xm:f>
            <xm:f>$Q$12</xm:f>
            <x14:dxf>
              <fill>
                <patternFill>
                  <bgColor rgb="FFFFFF00"/>
                </patternFill>
              </fill>
            </x14:dxf>
          </x14:cfRule>
          <x14:cfRule type="containsText" priority="2676" operator="containsText" id="{75D3AA93-3A52-4A8A-BADC-2C51BF056310}">
            <xm:f>NOT(ISERROR(SEARCH($Q$12,T752)))</xm:f>
            <xm:f>$Q$12</xm:f>
            <x14:dxf>
              <fill>
                <patternFill>
                  <bgColor theme="9" tint="0.39994506668294322"/>
                </patternFill>
              </fill>
            </x14:dxf>
          </x14:cfRule>
          <x14:cfRule type="containsText" priority="2675" operator="containsText" id="{94DC45E3-50AE-4B9D-A187-9FBEDC221DC9}">
            <xm:f>NOT(ISERROR(SEARCH($Q$12,T752)))</xm:f>
            <xm:f>$Q$12</xm:f>
            <x14:dxf>
              <fill>
                <patternFill>
                  <bgColor theme="9" tint="0.79998168889431442"/>
                </patternFill>
              </fill>
            </x14:dxf>
          </x14:cfRule>
          <x14:cfRule type="containsText" priority="2682" operator="containsText" id="{ED6CAA5B-9867-4616-8A7A-171DB0D777EC}">
            <xm:f>NOT(ISERROR(SEARCH($Q$12,T752)))</xm:f>
            <xm:f>$Q$12</xm:f>
            <x14:dxf>
              <fill>
                <patternFill>
                  <bgColor theme="9" tint="0.59996337778862885"/>
                </patternFill>
              </fill>
            </x14:dxf>
          </x14:cfRule>
          <x14:cfRule type="containsText" priority="2674" operator="containsText" id="{001F49D9-976A-4FD9-AED1-AA8221AD7314}">
            <xm:f>NOT(ISERROR(SEARCH($Q$12,T752)))</xm:f>
            <xm:f>$Q$12</xm:f>
            <x14:dxf>
              <fill>
                <patternFill>
                  <bgColor rgb="FFFFFF00"/>
                </patternFill>
              </fill>
            </x14:dxf>
          </x14:cfRule>
          <x14:cfRule type="containsText" priority="2683" operator="containsText" id="{78A46372-BCE2-484C-9ACC-D1164B026392}">
            <xm:f>NOT(ISERROR(SEARCH($Q$12,T752)))</xm:f>
            <xm:f>$Q$12</xm:f>
            <x14:dxf>
              <fill>
                <patternFill>
                  <bgColor theme="9"/>
                </patternFill>
              </fill>
            </x14:dxf>
          </x14:cfRule>
          <x14:cfRule type="containsText" priority="2686" operator="containsText" id="{6653A82C-3497-4C70-9249-A4D6FF2CA79F}">
            <xm:f>NOT(ISERROR(SEARCH($Q$12,T752)))</xm:f>
            <xm:f>$Q$12</xm:f>
            <x14:dxf>
              <fill>
                <patternFill>
                  <bgColor rgb="FFFF0000"/>
                </patternFill>
              </fill>
            </x14:dxf>
          </x14:cfRule>
          <x14:cfRule type="containsText" priority="2681" operator="containsText" id="{C0CBDED5-170E-4547-92CA-164C28F14AD9}">
            <xm:f>NOT(ISERROR(SEARCH($Q$12,T752)))</xm:f>
            <xm:f>$Q$12</xm:f>
            <x14:dxf>
              <fill>
                <patternFill>
                  <bgColor rgb="FFFF0000"/>
                </patternFill>
              </fill>
            </x14:dxf>
          </x14:cfRule>
          <x14:cfRule type="containsText" priority="2680" operator="containsText" id="{49F8FFA9-2C50-4B20-9ACD-D8B814C63118}">
            <xm:f>NOT(ISERROR(SEARCH($Q$12,T752)))</xm:f>
            <xm:f>$Q$12</xm:f>
            <x14:dxf>
              <fill>
                <patternFill>
                  <bgColor rgb="FFFFC000"/>
                </patternFill>
              </fill>
            </x14:dxf>
          </x14:cfRule>
          <x14:cfRule type="containsText" priority="2679" operator="containsText" id="{89F31242-0430-4752-96BE-92A9A136E0F4}">
            <xm:f>NOT(ISERROR(SEARCH($Q$12,T752)))</xm:f>
            <xm:f>$Q$12</xm:f>
            <x14:dxf>
              <fill>
                <patternFill>
                  <bgColor rgb="FFFFFF00"/>
                </patternFill>
              </fill>
            </x14:dxf>
          </x14:cfRule>
          <xm:sqref>T752</xm:sqref>
        </x14:conditionalFormatting>
        <x14:conditionalFormatting xmlns:xm="http://schemas.microsoft.com/office/excel/2006/main">
          <x14:cfRule type="containsText" priority="2638" operator="containsText" id="{253304BC-088D-481B-BE96-83B42C3D2D80}">
            <xm:f>NOT(ISERROR(SEARCH($Q$12,T762)))</xm:f>
            <xm:f>$Q$12</xm:f>
            <x14:dxf>
              <fill>
                <patternFill>
                  <bgColor rgb="FFFF0000"/>
                </patternFill>
              </fill>
            </x14:dxf>
          </x14:cfRule>
          <x14:cfRule type="containsText" priority="2628" operator="containsText" id="{9A7EB716-3BA9-4971-922D-0D0D0F649C44}">
            <xm:f>NOT(ISERROR(SEARCH($Q$12,T762)))</xm:f>
            <xm:f>$Q$12</xm:f>
            <x14:dxf>
              <fill>
                <patternFill>
                  <bgColor theme="9" tint="0.39994506668294322"/>
                </patternFill>
              </fill>
            </x14:dxf>
          </x14:cfRule>
          <x14:cfRule type="containsText" priority="2636" operator="containsText" id="{C2DD1D40-7C91-44CA-8CBC-FE1F5FE1112C}">
            <xm:f>NOT(ISERROR(SEARCH($Q$12,T762)))</xm:f>
            <xm:f>$Q$12</xm:f>
            <x14:dxf>
              <fill>
                <patternFill>
                  <bgColor rgb="FFFFFF00"/>
                </patternFill>
              </fill>
            </x14:dxf>
          </x14:cfRule>
          <x14:cfRule type="containsText" priority="2635" operator="containsText" id="{40998365-A2FC-4D82-AF39-27B7742A41A4}">
            <xm:f>NOT(ISERROR(SEARCH($Q$12,T762)))</xm:f>
            <xm:f>$Q$12</xm:f>
            <x14:dxf>
              <fill>
                <patternFill>
                  <bgColor theme="9"/>
                </patternFill>
              </fill>
            </x14:dxf>
          </x14:cfRule>
          <x14:cfRule type="containsText" priority="2629" operator="containsText" id="{24785228-F303-45B0-A709-EB6060E72504}">
            <xm:f>NOT(ISERROR(SEARCH($Q$12,T762)))</xm:f>
            <xm:f>$Q$12</xm:f>
            <x14:dxf>
              <fill>
                <patternFill>
                  <bgColor rgb="FF00B050"/>
                </patternFill>
              </fill>
            </x14:dxf>
          </x14:cfRule>
          <x14:cfRule type="containsText" priority="2634" operator="containsText" id="{D10497AE-25F6-46CE-A110-000A3282838E}">
            <xm:f>NOT(ISERROR(SEARCH($Q$12,T762)))</xm:f>
            <xm:f>$Q$12</xm:f>
            <x14:dxf>
              <fill>
                <patternFill>
                  <bgColor theme="9" tint="0.59996337778862885"/>
                </patternFill>
              </fill>
            </x14:dxf>
          </x14:cfRule>
          <x14:cfRule type="containsText" priority="2633" operator="containsText" id="{055330BA-E095-4864-98EA-CEEA9B559DA9}">
            <xm:f>NOT(ISERROR(SEARCH($Q$12,T762)))</xm:f>
            <xm:f>$Q$12</xm:f>
            <x14:dxf>
              <fill>
                <patternFill>
                  <bgColor rgb="FFFF0000"/>
                </patternFill>
              </fill>
            </x14:dxf>
          </x14:cfRule>
          <x14:cfRule type="containsText" priority="2632" operator="containsText" id="{CA3CABF8-0E74-49F6-B70E-34370E40BFCF}">
            <xm:f>NOT(ISERROR(SEARCH($Q$12,T762)))</xm:f>
            <xm:f>$Q$12</xm:f>
            <x14:dxf>
              <fill>
                <patternFill>
                  <bgColor rgb="FFFFC000"/>
                </patternFill>
              </fill>
            </x14:dxf>
          </x14:cfRule>
          <x14:cfRule type="containsText" priority="2631" operator="containsText" id="{6547EC74-A031-4173-B022-AFF54BC2FC3B}">
            <xm:f>NOT(ISERROR(SEARCH($Q$12,T762)))</xm:f>
            <xm:f>$Q$12</xm:f>
            <x14:dxf>
              <fill>
                <patternFill>
                  <bgColor rgb="FFFFFF00"/>
                </patternFill>
              </fill>
            </x14:dxf>
          </x14:cfRule>
          <x14:cfRule type="containsText" priority="2630" operator="containsText" id="{5F34D5B1-F3A7-4C59-AAA6-3709F3AF731E}">
            <xm:f>NOT(ISERROR(SEARCH($Q$12,T762)))</xm:f>
            <xm:f>$Q$12</xm:f>
            <x14:dxf/>
          </x14:cfRule>
          <x14:cfRule type="containsText" priority="2637" operator="containsText" id="{7BC79107-386B-4EE2-92EA-069DE963927D}">
            <xm:f>NOT(ISERROR(SEARCH($Q$12,T762)))</xm:f>
            <xm:f>$Q$12</xm:f>
            <x14:dxf>
              <fill>
                <patternFill>
                  <bgColor rgb="FFFFC000"/>
                </patternFill>
              </fill>
            </x14:dxf>
          </x14:cfRule>
          <x14:cfRule type="containsText" priority="2626" operator="containsText" id="{E4116697-2968-437A-8347-EA4A24973997}">
            <xm:f>NOT(ISERROR(SEARCH($Q$12,T762)))</xm:f>
            <xm:f>$Q$12</xm:f>
            <x14:dxf>
              <fill>
                <patternFill>
                  <bgColor rgb="FFFFFF00"/>
                </patternFill>
              </fill>
            </x14:dxf>
          </x14:cfRule>
          <x14:cfRule type="containsText" priority="2627" operator="containsText" id="{CAA6D516-ED3F-4773-A349-BE1AE942B438}">
            <xm:f>NOT(ISERROR(SEARCH($Q$12,T762)))</xm:f>
            <xm:f>$Q$12</xm:f>
            <x14:dxf>
              <fill>
                <patternFill>
                  <bgColor theme="9" tint="0.79998168889431442"/>
                </patternFill>
              </fill>
            </x14:dxf>
          </x14:cfRule>
          <xm:sqref>T762</xm:sqref>
        </x14:conditionalFormatting>
        <x14:conditionalFormatting xmlns:xm="http://schemas.microsoft.com/office/excel/2006/main">
          <x14:cfRule type="containsText" priority="2581" operator="containsText" id="{C02B9BCC-8891-4F58-8CA5-F20D81EB62EA}">
            <xm:f>NOT(ISERROR(SEARCH($Q$12,T772)))</xm:f>
            <xm:f>$Q$12</xm:f>
            <x14:dxf>
              <fill>
                <patternFill>
                  <bgColor rgb="FF00B050"/>
                </patternFill>
              </fill>
            </x14:dxf>
          </x14:cfRule>
          <x14:cfRule type="containsText" priority="2590" operator="containsText" id="{13D69206-D1AD-4264-AC66-2231800ADDF9}">
            <xm:f>NOT(ISERROR(SEARCH($Q$12,T772)))</xm:f>
            <xm:f>$Q$12</xm:f>
            <x14:dxf>
              <fill>
                <patternFill>
                  <bgColor rgb="FFFF0000"/>
                </patternFill>
              </fill>
            </x14:dxf>
          </x14:cfRule>
          <x14:cfRule type="containsText" priority="2589" operator="containsText" id="{4922A898-6D1E-42EB-AF3D-A5A56156EBA2}">
            <xm:f>NOT(ISERROR(SEARCH($Q$12,T772)))</xm:f>
            <xm:f>$Q$12</xm:f>
            <x14:dxf>
              <fill>
                <patternFill>
                  <bgColor rgb="FFFFC000"/>
                </patternFill>
              </fill>
            </x14:dxf>
          </x14:cfRule>
          <x14:cfRule type="containsText" priority="2588" operator="containsText" id="{287F100E-FAB1-4555-8F1D-5658D1E97A4D}">
            <xm:f>NOT(ISERROR(SEARCH($Q$12,T772)))</xm:f>
            <xm:f>$Q$12</xm:f>
            <x14:dxf>
              <fill>
                <patternFill>
                  <bgColor rgb="FFFFFF00"/>
                </patternFill>
              </fill>
            </x14:dxf>
          </x14:cfRule>
          <x14:cfRule type="containsText" priority="2587" operator="containsText" id="{0286A89B-14F0-4D37-9C8E-CD6E8C85D188}">
            <xm:f>NOT(ISERROR(SEARCH($Q$12,T772)))</xm:f>
            <xm:f>$Q$12</xm:f>
            <x14:dxf>
              <fill>
                <patternFill>
                  <bgColor theme="9"/>
                </patternFill>
              </fill>
            </x14:dxf>
          </x14:cfRule>
          <x14:cfRule type="containsText" priority="2586" operator="containsText" id="{9F6BCDDF-21E1-495B-8C36-272FA7251F88}">
            <xm:f>NOT(ISERROR(SEARCH($Q$12,T772)))</xm:f>
            <xm:f>$Q$12</xm:f>
            <x14:dxf>
              <fill>
                <patternFill>
                  <bgColor theme="9" tint="0.59996337778862885"/>
                </patternFill>
              </fill>
            </x14:dxf>
          </x14:cfRule>
          <x14:cfRule type="containsText" priority="2585" operator="containsText" id="{F8D5544B-1869-4763-9734-FD554901471E}">
            <xm:f>NOT(ISERROR(SEARCH($Q$12,T772)))</xm:f>
            <xm:f>$Q$12</xm:f>
            <x14:dxf>
              <fill>
                <patternFill>
                  <bgColor rgb="FFFF0000"/>
                </patternFill>
              </fill>
            </x14:dxf>
          </x14:cfRule>
          <x14:cfRule type="containsText" priority="2580" operator="containsText" id="{62EBD94D-8DD5-4828-A3A4-019430ADB7B9}">
            <xm:f>NOT(ISERROR(SEARCH($Q$12,T772)))</xm:f>
            <xm:f>$Q$12</xm:f>
            <x14:dxf>
              <fill>
                <patternFill>
                  <bgColor theme="9" tint="0.39994506668294322"/>
                </patternFill>
              </fill>
            </x14:dxf>
          </x14:cfRule>
          <x14:cfRule type="containsText" priority="2582" operator="containsText" id="{DE832ECA-5FF5-4CCF-AEED-6C91924DB8DC}">
            <xm:f>NOT(ISERROR(SEARCH($Q$12,T772)))</xm:f>
            <xm:f>$Q$12</xm:f>
            <x14:dxf/>
          </x14:cfRule>
          <x14:cfRule type="containsText" priority="2583" operator="containsText" id="{A33E31C5-2A40-4171-8FA0-1648AE1FD420}">
            <xm:f>NOT(ISERROR(SEARCH($Q$12,T772)))</xm:f>
            <xm:f>$Q$12</xm:f>
            <x14:dxf>
              <fill>
                <patternFill>
                  <bgColor rgb="FFFFFF00"/>
                </patternFill>
              </fill>
            </x14:dxf>
          </x14:cfRule>
          <x14:cfRule type="containsText" priority="2584" operator="containsText" id="{09B67DAE-42E5-4E75-B84E-755F742102E6}">
            <xm:f>NOT(ISERROR(SEARCH($Q$12,T772)))</xm:f>
            <xm:f>$Q$12</xm:f>
            <x14:dxf>
              <fill>
                <patternFill>
                  <bgColor rgb="FFFFC000"/>
                </patternFill>
              </fill>
            </x14:dxf>
          </x14:cfRule>
          <x14:cfRule type="containsText" priority="2579" operator="containsText" id="{8AA9BD79-749C-40B8-A298-BFB7535E2B51}">
            <xm:f>NOT(ISERROR(SEARCH($Q$12,T772)))</xm:f>
            <xm:f>$Q$12</xm:f>
            <x14:dxf>
              <fill>
                <patternFill>
                  <bgColor theme="9" tint="0.79998168889431442"/>
                </patternFill>
              </fill>
            </x14:dxf>
          </x14:cfRule>
          <x14:cfRule type="containsText" priority="2578" operator="containsText" id="{087DA0F7-A34F-40D0-BFB5-F3F45A7CA28B}">
            <xm:f>NOT(ISERROR(SEARCH($Q$12,T772)))</xm:f>
            <xm:f>$Q$12</xm:f>
            <x14:dxf>
              <fill>
                <patternFill>
                  <bgColor rgb="FFFFFF00"/>
                </patternFill>
              </fill>
            </x14:dxf>
          </x14:cfRule>
          <xm:sqref>T772</xm:sqref>
        </x14:conditionalFormatting>
        <x14:conditionalFormatting xmlns:xm="http://schemas.microsoft.com/office/excel/2006/main">
          <x14:cfRule type="containsText" priority="2534" operator="containsText" id="{E295C4B3-48EB-4578-ACFA-4E26DC054CFC}">
            <xm:f>NOT(ISERROR(SEARCH($Q$12,T782)))</xm:f>
            <xm:f>$Q$12</xm:f>
            <x14:dxf/>
          </x14:cfRule>
          <x14:cfRule type="containsText" priority="2542" operator="containsText" id="{09A21CFD-C1A4-401C-A7D5-B1FECBA8B83F}">
            <xm:f>NOT(ISERROR(SEARCH($Q$12,T782)))</xm:f>
            <xm:f>$Q$12</xm:f>
            <x14:dxf>
              <fill>
                <patternFill>
                  <bgColor rgb="FFFF0000"/>
                </patternFill>
              </fill>
            </x14:dxf>
          </x14:cfRule>
          <x14:cfRule type="containsText" priority="2537" operator="containsText" id="{53D99FFD-9FD2-450F-8416-0EC33FFFAC97}">
            <xm:f>NOT(ISERROR(SEARCH($Q$12,T782)))</xm:f>
            <xm:f>$Q$12</xm:f>
            <x14:dxf>
              <fill>
                <patternFill>
                  <bgColor rgb="FFFF0000"/>
                </patternFill>
              </fill>
            </x14:dxf>
          </x14:cfRule>
          <x14:cfRule type="containsText" priority="2538" operator="containsText" id="{8259CB79-AD69-4477-AAB8-670AE4915EC6}">
            <xm:f>NOT(ISERROR(SEARCH($Q$12,T782)))</xm:f>
            <xm:f>$Q$12</xm:f>
            <x14:dxf>
              <fill>
                <patternFill>
                  <bgColor theme="9" tint="0.59996337778862885"/>
                </patternFill>
              </fill>
            </x14:dxf>
          </x14:cfRule>
          <x14:cfRule type="containsText" priority="2531" operator="containsText" id="{828B582A-436F-49E7-B356-64368221FF95}">
            <xm:f>NOT(ISERROR(SEARCH($Q$12,T782)))</xm:f>
            <xm:f>$Q$12</xm:f>
            <x14:dxf>
              <fill>
                <patternFill>
                  <bgColor theme="9" tint="0.79998168889431442"/>
                </patternFill>
              </fill>
            </x14:dxf>
          </x14:cfRule>
          <x14:cfRule type="containsText" priority="2539" operator="containsText" id="{627F019A-F205-4DC3-8545-C386B4976715}">
            <xm:f>NOT(ISERROR(SEARCH($Q$12,T782)))</xm:f>
            <xm:f>$Q$12</xm:f>
            <x14:dxf>
              <fill>
                <patternFill>
                  <bgColor theme="9"/>
                </patternFill>
              </fill>
            </x14:dxf>
          </x14:cfRule>
          <x14:cfRule type="containsText" priority="2540" operator="containsText" id="{80D61F6A-1669-410A-9416-A0C4409E1074}">
            <xm:f>NOT(ISERROR(SEARCH($Q$12,T782)))</xm:f>
            <xm:f>$Q$12</xm:f>
            <x14:dxf>
              <fill>
                <patternFill>
                  <bgColor rgb="FFFFFF00"/>
                </patternFill>
              </fill>
            </x14:dxf>
          </x14:cfRule>
          <x14:cfRule type="containsText" priority="2541" operator="containsText" id="{3E16EB16-CD37-46E2-8617-3EEC4D50F4EF}">
            <xm:f>NOT(ISERROR(SEARCH($Q$12,T782)))</xm:f>
            <xm:f>$Q$12</xm:f>
            <x14:dxf>
              <fill>
                <patternFill>
                  <bgColor rgb="FFFFC000"/>
                </patternFill>
              </fill>
            </x14:dxf>
          </x14:cfRule>
          <x14:cfRule type="containsText" priority="2535" operator="containsText" id="{88D4B369-0F17-4A3D-9088-FB0C8378B0B6}">
            <xm:f>NOT(ISERROR(SEARCH($Q$12,T782)))</xm:f>
            <xm:f>$Q$12</xm:f>
            <x14:dxf>
              <fill>
                <patternFill>
                  <bgColor rgb="FFFFFF00"/>
                </patternFill>
              </fill>
            </x14:dxf>
          </x14:cfRule>
          <x14:cfRule type="containsText" priority="2536" operator="containsText" id="{B6B5A25B-CBD3-460A-BFEF-CD1F407C7B1B}">
            <xm:f>NOT(ISERROR(SEARCH($Q$12,T782)))</xm:f>
            <xm:f>$Q$12</xm:f>
            <x14:dxf>
              <fill>
                <patternFill>
                  <bgColor rgb="FFFFC000"/>
                </patternFill>
              </fill>
            </x14:dxf>
          </x14:cfRule>
          <x14:cfRule type="containsText" priority="2533" operator="containsText" id="{0C3A70C8-CA96-4883-B550-3C7D6C69B1E5}">
            <xm:f>NOT(ISERROR(SEARCH($Q$12,T782)))</xm:f>
            <xm:f>$Q$12</xm:f>
            <x14:dxf>
              <fill>
                <patternFill>
                  <bgColor rgb="FF00B050"/>
                </patternFill>
              </fill>
            </x14:dxf>
          </x14:cfRule>
          <x14:cfRule type="containsText" priority="2532" operator="containsText" id="{C8847E40-87E4-44C4-91D2-8705CE4C0009}">
            <xm:f>NOT(ISERROR(SEARCH($Q$12,T782)))</xm:f>
            <xm:f>$Q$12</xm:f>
            <x14:dxf>
              <fill>
                <patternFill>
                  <bgColor theme="9" tint="0.39994506668294322"/>
                </patternFill>
              </fill>
            </x14:dxf>
          </x14:cfRule>
          <x14:cfRule type="containsText" priority="2530" operator="containsText" id="{E7EFDAB4-85A5-4BDF-8F5A-C5FECE86419D}">
            <xm:f>NOT(ISERROR(SEARCH($Q$12,T782)))</xm:f>
            <xm:f>$Q$12</xm:f>
            <x14:dxf>
              <fill>
                <patternFill>
                  <bgColor rgb="FFFFFF00"/>
                </patternFill>
              </fill>
            </x14:dxf>
          </x14:cfRule>
          <xm:sqref>T782</xm:sqref>
        </x14:conditionalFormatting>
        <x14:conditionalFormatting xmlns:xm="http://schemas.microsoft.com/office/excel/2006/main">
          <x14:cfRule type="containsText" priority="2488" operator="containsText" id="{2E9AE20B-DCD9-40FD-B78E-761F860C3C17}">
            <xm:f>NOT(ISERROR(SEARCH($Q$12,T792)))</xm:f>
            <xm:f>$Q$12</xm:f>
            <x14:dxf>
              <fill>
                <patternFill>
                  <bgColor rgb="FFFFC000"/>
                </patternFill>
              </fill>
            </x14:dxf>
          </x14:cfRule>
          <x14:cfRule type="containsText" priority="2482" operator="containsText" id="{E21E5299-917E-4DBE-BE14-F2EF82D94D12}">
            <xm:f>NOT(ISERROR(SEARCH($Q$12,T792)))</xm:f>
            <xm:f>$Q$12</xm:f>
            <x14:dxf>
              <fill>
                <patternFill>
                  <bgColor rgb="FFFFFF00"/>
                </patternFill>
              </fill>
            </x14:dxf>
          </x14:cfRule>
          <x14:cfRule type="containsText" priority="2489" operator="containsText" id="{6DD754A3-1FE5-4599-A923-AE062718F430}">
            <xm:f>NOT(ISERROR(SEARCH($Q$12,T792)))</xm:f>
            <xm:f>$Q$12</xm:f>
            <x14:dxf>
              <fill>
                <patternFill>
                  <bgColor rgb="FFFF0000"/>
                </patternFill>
              </fill>
            </x14:dxf>
          </x14:cfRule>
          <x14:cfRule type="containsText" priority="2490" operator="containsText" id="{B5B39D34-3D19-4681-A989-281508FC5AC2}">
            <xm:f>NOT(ISERROR(SEARCH($Q$12,T792)))</xm:f>
            <xm:f>$Q$12</xm:f>
            <x14:dxf>
              <fill>
                <patternFill>
                  <bgColor theme="9" tint="0.59996337778862885"/>
                </patternFill>
              </fill>
            </x14:dxf>
          </x14:cfRule>
          <x14:cfRule type="containsText" priority="2491" operator="containsText" id="{E2F0E4FC-660F-46B3-88C3-727814AF7150}">
            <xm:f>NOT(ISERROR(SEARCH($Q$12,T792)))</xm:f>
            <xm:f>$Q$12</xm:f>
            <x14:dxf>
              <fill>
                <patternFill>
                  <bgColor theme="9"/>
                </patternFill>
              </fill>
            </x14:dxf>
          </x14:cfRule>
          <x14:cfRule type="containsText" priority="2492" operator="containsText" id="{0774E36F-DC5F-4BDD-BE56-1E2B46F47B5B}">
            <xm:f>NOT(ISERROR(SEARCH($Q$12,T792)))</xm:f>
            <xm:f>$Q$12</xm:f>
            <x14:dxf>
              <fill>
                <patternFill>
                  <bgColor rgb="FFFFFF00"/>
                </patternFill>
              </fill>
            </x14:dxf>
          </x14:cfRule>
          <x14:cfRule type="containsText" priority="2493" operator="containsText" id="{9DBC47EC-BD67-46D5-82F7-E1A6DB1D9C38}">
            <xm:f>NOT(ISERROR(SEARCH($Q$12,T792)))</xm:f>
            <xm:f>$Q$12</xm:f>
            <x14:dxf>
              <fill>
                <patternFill>
                  <bgColor rgb="FFFFC000"/>
                </patternFill>
              </fill>
            </x14:dxf>
          </x14:cfRule>
          <x14:cfRule type="containsText" priority="2494" operator="containsText" id="{0C7D71E1-9E0E-49B8-B8E0-71AAC0E7E1D2}">
            <xm:f>NOT(ISERROR(SEARCH($Q$12,T792)))</xm:f>
            <xm:f>$Q$12</xm:f>
            <x14:dxf>
              <fill>
                <patternFill>
                  <bgColor rgb="FFFF0000"/>
                </patternFill>
              </fill>
            </x14:dxf>
          </x14:cfRule>
          <x14:cfRule type="containsText" priority="2483" operator="containsText" id="{2FA6BD5E-1DFF-4F53-AA13-5693B9C51A93}">
            <xm:f>NOT(ISERROR(SEARCH($Q$12,T792)))</xm:f>
            <xm:f>$Q$12</xm:f>
            <x14:dxf>
              <fill>
                <patternFill>
                  <bgColor theme="9" tint="0.79998168889431442"/>
                </patternFill>
              </fill>
            </x14:dxf>
          </x14:cfRule>
          <x14:cfRule type="containsText" priority="2485" operator="containsText" id="{991FE0BE-3709-477C-BAF2-03078634CBC9}">
            <xm:f>NOT(ISERROR(SEARCH($Q$12,T792)))</xm:f>
            <xm:f>$Q$12</xm:f>
            <x14:dxf>
              <fill>
                <patternFill>
                  <bgColor rgb="FF00B050"/>
                </patternFill>
              </fill>
            </x14:dxf>
          </x14:cfRule>
          <x14:cfRule type="containsText" priority="2486" operator="containsText" id="{DDFFAEC3-A0D4-4640-9F67-26E0E34B00A5}">
            <xm:f>NOT(ISERROR(SEARCH($Q$12,T792)))</xm:f>
            <xm:f>$Q$12</xm:f>
            <x14:dxf/>
          </x14:cfRule>
          <x14:cfRule type="containsText" priority="2487" operator="containsText" id="{22F0AADB-57EA-4441-BB57-406354AE1322}">
            <xm:f>NOT(ISERROR(SEARCH($Q$12,T792)))</xm:f>
            <xm:f>$Q$12</xm:f>
            <x14:dxf>
              <fill>
                <patternFill>
                  <bgColor rgb="FFFFFF00"/>
                </patternFill>
              </fill>
            </x14:dxf>
          </x14:cfRule>
          <x14:cfRule type="containsText" priority="2484" operator="containsText" id="{C4E7BDC8-7197-4733-8568-35956156E7B7}">
            <xm:f>NOT(ISERROR(SEARCH($Q$12,T792)))</xm:f>
            <xm:f>$Q$12</xm:f>
            <x14:dxf>
              <fill>
                <patternFill>
                  <bgColor theme="9" tint="0.39994506668294322"/>
                </patternFill>
              </fill>
            </x14:dxf>
          </x14:cfRule>
          <xm:sqref>T792</xm:sqref>
        </x14:conditionalFormatting>
        <x14:conditionalFormatting xmlns:xm="http://schemas.microsoft.com/office/excel/2006/main">
          <x14:cfRule type="containsText" priority="2446" operator="containsText" id="{2479F8A6-31EB-4943-8F9E-2545CD87CEB2}">
            <xm:f>NOT(ISERROR(SEARCH($Q$12,T802)))</xm:f>
            <xm:f>$Q$12</xm:f>
            <x14:dxf>
              <fill>
                <patternFill>
                  <bgColor rgb="FFFF0000"/>
                </patternFill>
              </fill>
            </x14:dxf>
          </x14:cfRule>
          <x14:cfRule type="containsText" priority="2439" operator="containsText" id="{69B609A8-C5E9-4E4B-A04F-0E7A9E8A4953}">
            <xm:f>NOT(ISERROR(SEARCH($Q$12,T802)))</xm:f>
            <xm:f>$Q$12</xm:f>
            <x14:dxf>
              <fill>
                <patternFill>
                  <bgColor rgb="FFFFFF00"/>
                </patternFill>
              </fill>
            </x14:dxf>
          </x14:cfRule>
          <x14:cfRule type="containsText" priority="2438" operator="containsText" id="{602A6803-DA14-4F62-8AEE-093BFA12F35B}">
            <xm:f>NOT(ISERROR(SEARCH($Q$12,T802)))</xm:f>
            <xm:f>$Q$12</xm:f>
            <x14:dxf/>
          </x14:cfRule>
          <x14:cfRule type="containsText" priority="2437" operator="containsText" id="{8730927A-E8BB-4251-AB90-B0DD7D0C4689}">
            <xm:f>NOT(ISERROR(SEARCH($Q$12,T802)))</xm:f>
            <xm:f>$Q$12</xm:f>
            <x14:dxf>
              <fill>
                <patternFill>
                  <bgColor rgb="FF00B050"/>
                </patternFill>
              </fill>
            </x14:dxf>
          </x14:cfRule>
          <x14:cfRule type="containsText" priority="2436" operator="containsText" id="{B91B6603-FB7D-42D4-8483-E9F259B37882}">
            <xm:f>NOT(ISERROR(SEARCH($Q$12,T802)))</xm:f>
            <xm:f>$Q$12</xm:f>
            <x14:dxf>
              <fill>
                <patternFill>
                  <bgColor theme="9" tint="0.39994506668294322"/>
                </patternFill>
              </fill>
            </x14:dxf>
          </x14:cfRule>
          <x14:cfRule type="containsText" priority="2435" operator="containsText" id="{83B5A4D7-3D33-4842-B9D1-4760810A97EB}">
            <xm:f>NOT(ISERROR(SEARCH($Q$12,T802)))</xm:f>
            <xm:f>$Q$12</xm:f>
            <x14:dxf>
              <fill>
                <patternFill>
                  <bgColor theme="9" tint="0.79998168889431442"/>
                </patternFill>
              </fill>
            </x14:dxf>
          </x14:cfRule>
          <x14:cfRule type="containsText" priority="2440" operator="containsText" id="{4B439CFD-CD2B-485E-A822-B1CD129F0D9F}">
            <xm:f>NOT(ISERROR(SEARCH($Q$12,T802)))</xm:f>
            <xm:f>$Q$12</xm:f>
            <x14:dxf>
              <fill>
                <patternFill>
                  <bgColor rgb="FFFFC000"/>
                </patternFill>
              </fill>
            </x14:dxf>
          </x14:cfRule>
          <x14:cfRule type="containsText" priority="2441" operator="containsText" id="{6028A1C8-4F3F-4906-A67B-BD6FB1646DE4}">
            <xm:f>NOT(ISERROR(SEARCH($Q$12,T802)))</xm:f>
            <xm:f>$Q$12</xm:f>
            <x14:dxf>
              <fill>
                <patternFill>
                  <bgColor rgb="FFFF0000"/>
                </patternFill>
              </fill>
            </x14:dxf>
          </x14:cfRule>
          <x14:cfRule type="containsText" priority="2442" operator="containsText" id="{2B8D8008-A8FD-4517-892F-F07BF387A24E}">
            <xm:f>NOT(ISERROR(SEARCH($Q$12,T802)))</xm:f>
            <xm:f>$Q$12</xm:f>
            <x14:dxf>
              <fill>
                <patternFill>
                  <bgColor theme="9" tint="0.59996337778862885"/>
                </patternFill>
              </fill>
            </x14:dxf>
          </x14:cfRule>
          <x14:cfRule type="containsText" priority="2443" operator="containsText" id="{611003A0-00BC-4D7B-8BC6-4025727A5559}">
            <xm:f>NOT(ISERROR(SEARCH($Q$12,T802)))</xm:f>
            <xm:f>$Q$12</xm:f>
            <x14:dxf>
              <fill>
                <patternFill>
                  <bgColor theme="9"/>
                </patternFill>
              </fill>
            </x14:dxf>
          </x14:cfRule>
          <x14:cfRule type="containsText" priority="2444" operator="containsText" id="{F6CB3F21-8A08-4287-970E-05B73B3CEA6C}">
            <xm:f>NOT(ISERROR(SEARCH($Q$12,T802)))</xm:f>
            <xm:f>$Q$12</xm:f>
            <x14:dxf>
              <fill>
                <patternFill>
                  <bgColor rgb="FFFFFF00"/>
                </patternFill>
              </fill>
            </x14:dxf>
          </x14:cfRule>
          <x14:cfRule type="containsText" priority="2434" operator="containsText" id="{E1991F60-A6F1-4C2B-8E81-008D45DE2199}">
            <xm:f>NOT(ISERROR(SEARCH($Q$12,T802)))</xm:f>
            <xm:f>$Q$12</xm:f>
            <x14:dxf>
              <fill>
                <patternFill>
                  <bgColor rgb="FFFFFF00"/>
                </patternFill>
              </fill>
            </x14:dxf>
          </x14:cfRule>
          <x14:cfRule type="containsText" priority="2445" operator="containsText" id="{861D0AAD-AA94-4AD8-BBBC-ACE92A11201B}">
            <xm:f>NOT(ISERROR(SEARCH($Q$12,T802)))</xm:f>
            <xm:f>$Q$12</xm:f>
            <x14:dxf>
              <fill>
                <patternFill>
                  <bgColor rgb="FFFFC000"/>
                </patternFill>
              </fill>
            </x14:dxf>
          </x14:cfRule>
          <xm:sqref>T802</xm:sqref>
        </x14:conditionalFormatting>
        <x14:conditionalFormatting xmlns:xm="http://schemas.microsoft.com/office/excel/2006/main">
          <x14:cfRule type="containsText" priority="1953" operator="containsText" id="{2698F113-CAA9-4983-8123-0B919E364679}">
            <xm:f>NOT(ISERROR(SEARCH($Q$12,T822)))</xm:f>
            <xm:f>$Q$12</xm:f>
            <x14:dxf>
              <fill>
                <patternFill>
                  <bgColor rgb="FFFF0000"/>
                </patternFill>
              </fill>
            </x14:dxf>
          </x14:cfRule>
          <x14:cfRule type="containsText" priority="1958" operator="containsText" id="{080D16FD-E5D8-4849-862D-F536FD8CA344}">
            <xm:f>NOT(ISERROR(SEARCH($Q$12,T822)))</xm:f>
            <xm:f>$Q$12</xm:f>
            <x14:dxf>
              <fill>
                <patternFill>
                  <bgColor rgb="FFFF0000"/>
                </patternFill>
              </fill>
            </x14:dxf>
          </x14:cfRule>
          <x14:cfRule type="containsText" priority="1951" operator="containsText" id="{A1F726EA-02C1-4B1B-BFA7-1E1B48B3B1D9}">
            <xm:f>NOT(ISERROR(SEARCH($Q$12,T822)))</xm:f>
            <xm:f>$Q$12</xm:f>
            <x14:dxf>
              <fill>
                <patternFill>
                  <bgColor rgb="FFFFFF00"/>
                </patternFill>
              </fill>
            </x14:dxf>
          </x14:cfRule>
          <x14:cfRule type="containsText" priority="1950" operator="containsText" id="{D12D2099-8026-46D3-8662-DF59E18BA3AD}">
            <xm:f>NOT(ISERROR(SEARCH($Q$12,T822)))</xm:f>
            <xm:f>$Q$12</xm:f>
            <x14:dxf/>
          </x14:cfRule>
          <x14:cfRule type="containsText" priority="1957" operator="containsText" id="{C616B9ED-6C91-4865-9916-4C85B93217F2}">
            <xm:f>NOT(ISERROR(SEARCH($Q$12,T822)))</xm:f>
            <xm:f>$Q$12</xm:f>
            <x14:dxf>
              <fill>
                <patternFill>
                  <bgColor rgb="FFFFC000"/>
                </patternFill>
              </fill>
            </x14:dxf>
          </x14:cfRule>
          <x14:cfRule type="containsText" priority="1949" operator="containsText" id="{E6B7CC4A-ECFC-4F50-8214-5E9419A8E742}">
            <xm:f>NOT(ISERROR(SEARCH($Q$12,T822)))</xm:f>
            <xm:f>$Q$12</xm:f>
            <x14:dxf>
              <fill>
                <patternFill>
                  <bgColor rgb="FF00B050"/>
                </patternFill>
              </fill>
            </x14:dxf>
          </x14:cfRule>
          <x14:cfRule type="containsText" priority="1948" operator="containsText" id="{D8C04C82-577B-4349-A207-731BB53CEFF0}">
            <xm:f>NOT(ISERROR(SEARCH($Q$12,T822)))</xm:f>
            <xm:f>$Q$12</xm:f>
            <x14:dxf>
              <fill>
                <patternFill>
                  <bgColor theme="9" tint="0.39994506668294322"/>
                </patternFill>
              </fill>
            </x14:dxf>
          </x14:cfRule>
          <x14:cfRule type="containsText" priority="1947" operator="containsText" id="{5B3258B8-68AC-44F1-AF69-0887FE62A0C9}">
            <xm:f>NOT(ISERROR(SEARCH($Q$12,T822)))</xm:f>
            <xm:f>$Q$12</xm:f>
            <x14:dxf>
              <fill>
                <patternFill>
                  <bgColor theme="9" tint="0.79998168889431442"/>
                </patternFill>
              </fill>
            </x14:dxf>
          </x14:cfRule>
          <x14:cfRule type="containsText" priority="1946" operator="containsText" id="{95F0F243-CBBD-4C9D-B86C-852329D10BE2}">
            <xm:f>NOT(ISERROR(SEARCH($Q$12,T822)))</xm:f>
            <xm:f>$Q$12</xm:f>
            <x14:dxf>
              <fill>
                <patternFill>
                  <bgColor rgb="FFFFFF00"/>
                </patternFill>
              </fill>
            </x14:dxf>
          </x14:cfRule>
          <x14:cfRule type="containsText" priority="1956" operator="containsText" id="{9A4E39D4-E6DE-40A7-9522-52031D1A8FC3}">
            <xm:f>NOT(ISERROR(SEARCH($Q$12,T822)))</xm:f>
            <xm:f>$Q$12</xm:f>
            <x14:dxf>
              <fill>
                <patternFill>
                  <bgColor rgb="FFFFFF00"/>
                </patternFill>
              </fill>
            </x14:dxf>
          </x14:cfRule>
          <x14:cfRule type="containsText" priority="1955" operator="containsText" id="{2EBCCF32-523E-4EFE-8666-10507C04FFE0}">
            <xm:f>NOT(ISERROR(SEARCH($Q$12,T822)))</xm:f>
            <xm:f>$Q$12</xm:f>
            <x14:dxf>
              <fill>
                <patternFill>
                  <bgColor theme="9"/>
                </patternFill>
              </fill>
            </x14:dxf>
          </x14:cfRule>
          <x14:cfRule type="containsText" priority="1954" operator="containsText" id="{19493D4E-9729-4591-AE80-49CEBBF76C22}">
            <xm:f>NOT(ISERROR(SEARCH($Q$12,T822)))</xm:f>
            <xm:f>$Q$12</xm:f>
            <x14:dxf>
              <fill>
                <patternFill>
                  <bgColor theme="9" tint="0.59996337778862885"/>
                </patternFill>
              </fill>
            </x14:dxf>
          </x14:cfRule>
          <x14:cfRule type="containsText" priority="1952" operator="containsText" id="{E5E285C2-7E67-4028-898E-7F4D4AFFD564}">
            <xm:f>NOT(ISERROR(SEARCH($Q$12,T822)))</xm:f>
            <xm:f>$Q$12</xm:f>
            <x14:dxf>
              <fill>
                <patternFill>
                  <bgColor rgb="FFFFC000"/>
                </patternFill>
              </fill>
            </x14:dxf>
          </x14:cfRule>
          <xm:sqref>T822</xm:sqref>
        </x14:conditionalFormatting>
        <x14:conditionalFormatting xmlns:xm="http://schemas.microsoft.com/office/excel/2006/main">
          <x14:cfRule type="containsText" priority="1906" operator="containsText" id="{F841F75D-86EF-4151-A430-0A62C9F2ED1D}">
            <xm:f>NOT(ISERROR(SEARCH($Q$12,T832)))</xm:f>
            <xm:f>$Q$12</xm:f>
            <x14:dxf>
              <fill>
                <patternFill>
                  <bgColor theme="9" tint="0.59996337778862885"/>
                </patternFill>
              </fill>
            </x14:dxf>
          </x14:cfRule>
          <x14:cfRule type="containsText" priority="1907" operator="containsText" id="{BE28D0DD-EED8-40A2-A893-CC6C4119F746}">
            <xm:f>NOT(ISERROR(SEARCH($Q$12,T832)))</xm:f>
            <xm:f>$Q$12</xm:f>
            <x14:dxf>
              <fill>
                <patternFill>
                  <bgColor theme="9"/>
                </patternFill>
              </fill>
            </x14:dxf>
          </x14:cfRule>
          <x14:cfRule type="containsText" priority="1908" operator="containsText" id="{2498C6E4-9648-4062-B028-E63E10F7CDB2}">
            <xm:f>NOT(ISERROR(SEARCH($Q$12,T832)))</xm:f>
            <xm:f>$Q$12</xm:f>
            <x14:dxf>
              <fill>
                <patternFill>
                  <bgColor rgb="FFFFFF00"/>
                </patternFill>
              </fill>
            </x14:dxf>
          </x14:cfRule>
          <x14:cfRule type="containsText" priority="1909" operator="containsText" id="{15189D46-E3A0-4CBB-AA9D-B774B8EF0960}">
            <xm:f>NOT(ISERROR(SEARCH($Q$12,T832)))</xm:f>
            <xm:f>$Q$12</xm:f>
            <x14:dxf>
              <fill>
                <patternFill>
                  <bgColor rgb="FFFFC000"/>
                </patternFill>
              </fill>
            </x14:dxf>
          </x14:cfRule>
          <x14:cfRule type="containsText" priority="1910" operator="containsText" id="{45288B78-3EC7-4B3B-979F-22DA1A7FE977}">
            <xm:f>NOT(ISERROR(SEARCH($Q$12,T832)))</xm:f>
            <xm:f>$Q$12</xm:f>
            <x14:dxf>
              <fill>
                <patternFill>
                  <bgColor rgb="FFFF0000"/>
                </patternFill>
              </fill>
            </x14:dxf>
          </x14:cfRule>
          <x14:cfRule type="containsText" priority="1903" operator="containsText" id="{454CB490-2841-4AEE-91A8-11D8EC66D2D9}">
            <xm:f>NOT(ISERROR(SEARCH($Q$12,T832)))</xm:f>
            <xm:f>$Q$12</xm:f>
            <x14:dxf>
              <fill>
                <patternFill>
                  <bgColor rgb="FFFFFF00"/>
                </patternFill>
              </fill>
            </x14:dxf>
          </x14:cfRule>
          <x14:cfRule type="containsText" priority="1898" operator="containsText" id="{5FEF65D8-A426-4E51-A415-DB123FE5C06A}">
            <xm:f>NOT(ISERROR(SEARCH($Q$12,T832)))</xm:f>
            <xm:f>$Q$12</xm:f>
            <x14:dxf>
              <fill>
                <patternFill>
                  <bgColor rgb="FFFFFF00"/>
                </patternFill>
              </fill>
            </x14:dxf>
          </x14:cfRule>
          <x14:cfRule type="containsText" priority="1899" operator="containsText" id="{1EE04E82-2019-4EE2-841E-7DEAAE23E190}">
            <xm:f>NOT(ISERROR(SEARCH($Q$12,T832)))</xm:f>
            <xm:f>$Q$12</xm:f>
            <x14:dxf>
              <fill>
                <patternFill>
                  <bgColor theme="9" tint="0.79998168889431442"/>
                </patternFill>
              </fill>
            </x14:dxf>
          </x14:cfRule>
          <x14:cfRule type="containsText" priority="1900" operator="containsText" id="{174A15B4-B0E8-4E9F-A4FE-B4CC43F66E02}">
            <xm:f>NOT(ISERROR(SEARCH($Q$12,T832)))</xm:f>
            <xm:f>$Q$12</xm:f>
            <x14:dxf>
              <fill>
                <patternFill>
                  <bgColor theme="9" tint="0.39994506668294322"/>
                </patternFill>
              </fill>
            </x14:dxf>
          </x14:cfRule>
          <x14:cfRule type="containsText" priority="1901" operator="containsText" id="{778414DF-0757-454F-A529-2F6B1BC598D9}">
            <xm:f>NOT(ISERROR(SEARCH($Q$12,T832)))</xm:f>
            <xm:f>$Q$12</xm:f>
            <x14:dxf>
              <fill>
                <patternFill>
                  <bgColor rgb="FF00B050"/>
                </patternFill>
              </fill>
            </x14:dxf>
          </x14:cfRule>
          <x14:cfRule type="containsText" priority="1902" operator="containsText" id="{09CF99C6-0FBE-4823-B80D-A89CE7DAE2ED}">
            <xm:f>NOT(ISERROR(SEARCH($Q$12,T832)))</xm:f>
            <xm:f>$Q$12</xm:f>
            <x14:dxf/>
          </x14:cfRule>
          <x14:cfRule type="containsText" priority="1904" operator="containsText" id="{AC949986-9848-493E-9D86-5AE1DA833299}">
            <xm:f>NOT(ISERROR(SEARCH($Q$12,T832)))</xm:f>
            <xm:f>$Q$12</xm:f>
            <x14:dxf>
              <fill>
                <patternFill>
                  <bgColor rgb="FFFFC000"/>
                </patternFill>
              </fill>
            </x14:dxf>
          </x14:cfRule>
          <x14:cfRule type="containsText" priority="1905" operator="containsText" id="{E84A76F9-A4FD-48AA-AC56-0F782DE492C6}">
            <xm:f>NOT(ISERROR(SEARCH($Q$12,T832)))</xm:f>
            <xm:f>$Q$12</xm:f>
            <x14:dxf>
              <fill>
                <patternFill>
                  <bgColor rgb="FFFF0000"/>
                </patternFill>
              </fill>
            </x14:dxf>
          </x14:cfRule>
          <xm:sqref>T832</xm:sqref>
        </x14:conditionalFormatting>
        <x14:conditionalFormatting xmlns:xm="http://schemas.microsoft.com/office/excel/2006/main">
          <x14:cfRule type="containsText" priority="1856" operator="containsText" id="{642C4EA3-EE35-4588-8C51-D1393B0E9338}">
            <xm:f>NOT(ISERROR(SEARCH($Q$12,T842)))</xm:f>
            <xm:f>$Q$12</xm:f>
            <x14:dxf>
              <fill>
                <patternFill>
                  <bgColor rgb="FFFFC000"/>
                </patternFill>
              </fill>
            </x14:dxf>
          </x14:cfRule>
          <x14:cfRule type="containsText" priority="1855" operator="containsText" id="{820151DC-F0F2-461C-AD1A-8D3E8A18C912}">
            <xm:f>NOT(ISERROR(SEARCH($Q$12,T842)))</xm:f>
            <xm:f>$Q$12</xm:f>
            <x14:dxf>
              <fill>
                <patternFill>
                  <bgColor rgb="FFFFFF00"/>
                </patternFill>
              </fill>
            </x14:dxf>
          </x14:cfRule>
          <x14:cfRule type="containsText" priority="1854" operator="containsText" id="{F709E111-5D60-46EC-AB02-79AB6B3210D3}">
            <xm:f>NOT(ISERROR(SEARCH($Q$12,T842)))</xm:f>
            <xm:f>$Q$12</xm:f>
            <x14:dxf/>
          </x14:cfRule>
          <x14:cfRule type="containsText" priority="1853" operator="containsText" id="{F7E67107-FEDF-401C-B2D8-2E01CCBC26CB}">
            <xm:f>NOT(ISERROR(SEARCH($Q$12,T842)))</xm:f>
            <xm:f>$Q$12</xm:f>
            <x14:dxf>
              <fill>
                <patternFill>
                  <bgColor rgb="FF00B050"/>
                </patternFill>
              </fill>
            </x14:dxf>
          </x14:cfRule>
          <x14:cfRule type="containsText" priority="1850" operator="containsText" id="{D41414E8-D88A-422A-B7FF-FB602F3F9A00}">
            <xm:f>NOT(ISERROR(SEARCH($Q$12,T842)))</xm:f>
            <xm:f>$Q$12</xm:f>
            <x14:dxf>
              <fill>
                <patternFill>
                  <bgColor rgb="FFFFFF00"/>
                </patternFill>
              </fill>
            </x14:dxf>
          </x14:cfRule>
          <x14:cfRule type="containsText" priority="1851" operator="containsText" id="{AA52BBE4-F07D-4589-BFEF-6889EBC1EF06}">
            <xm:f>NOT(ISERROR(SEARCH($Q$12,T842)))</xm:f>
            <xm:f>$Q$12</xm:f>
            <x14:dxf>
              <fill>
                <patternFill>
                  <bgColor theme="9" tint="0.79998168889431442"/>
                </patternFill>
              </fill>
            </x14:dxf>
          </x14:cfRule>
          <x14:cfRule type="containsText" priority="1852" operator="containsText" id="{752BD013-2348-4FC3-AAF3-F561377C1A49}">
            <xm:f>NOT(ISERROR(SEARCH($Q$12,T842)))</xm:f>
            <xm:f>$Q$12</xm:f>
            <x14:dxf>
              <fill>
                <patternFill>
                  <bgColor theme="9" tint="0.39994506668294322"/>
                </patternFill>
              </fill>
            </x14:dxf>
          </x14:cfRule>
          <x14:cfRule type="containsText" priority="1857" operator="containsText" id="{1B66CFC3-B778-4D32-8A0C-07799FE07A4A}">
            <xm:f>NOT(ISERROR(SEARCH($Q$12,T842)))</xm:f>
            <xm:f>$Q$12</xm:f>
            <x14:dxf>
              <fill>
                <patternFill>
                  <bgColor rgb="FFFF0000"/>
                </patternFill>
              </fill>
            </x14:dxf>
          </x14:cfRule>
          <x14:cfRule type="containsText" priority="1862" operator="containsText" id="{58255DDC-FE42-4397-B0E7-C960FA716B7E}">
            <xm:f>NOT(ISERROR(SEARCH($Q$12,T842)))</xm:f>
            <xm:f>$Q$12</xm:f>
            <x14:dxf>
              <fill>
                <patternFill>
                  <bgColor rgb="FFFF0000"/>
                </patternFill>
              </fill>
            </x14:dxf>
          </x14:cfRule>
          <x14:cfRule type="containsText" priority="1861" operator="containsText" id="{BD1F2884-05BC-48BE-802D-10B02621E0F5}">
            <xm:f>NOT(ISERROR(SEARCH($Q$12,T842)))</xm:f>
            <xm:f>$Q$12</xm:f>
            <x14:dxf>
              <fill>
                <patternFill>
                  <bgColor rgb="FFFFC000"/>
                </patternFill>
              </fill>
            </x14:dxf>
          </x14:cfRule>
          <x14:cfRule type="containsText" priority="1860" operator="containsText" id="{F612F5B6-01A7-4A1A-A0FA-8E7C36AD9791}">
            <xm:f>NOT(ISERROR(SEARCH($Q$12,T842)))</xm:f>
            <xm:f>$Q$12</xm:f>
            <x14:dxf>
              <fill>
                <patternFill>
                  <bgColor rgb="FFFFFF00"/>
                </patternFill>
              </fill>
            </x14:dxf>
          </x14:cfRule>
          <x14:cfRule type="containsText" priority="1859" operator="containsText" id="{DE8A3C81-99D4-4A87-B38E-47C7128C4632}">
            <xm:f>NOT(ISERROR(SEARCH($Q$12,T842)))</xm:f>
            <xm:f>$Q$12</xm:f>
            <x14:dxf>
              <fill>
                <patternFill>
                  <bgColor theme="9"/>
                </patternFill>
              </fill>
            </x14:dxf>
          </x14:cfRule>
          <x14:cfRule type="containsText" priority="1858" operator="containsText" id="{1E13AC27-3DBD-4EED-B5B6-0FB78ED4E4F4}">
            <xm:f>NOT(ISERROR(SEARCH($Q$12,T842)))</xm:f>
            <xm:f>$Q$12</xm:f>
            <x14:dxf>
              <fill>
                <patternFill>
                  <bgColor theme="9" tint="0.59996337778862885"/>
                </patternFill>
              </fill>
            </x14:dxf>
          </x14:cfRule>
          <xm:sqref>T842</xm:sqref>
        </x14:conditionalFormatting>
        <x14:conditionalFormatting xmlns:xm="http://schemas.microsoft.com/office/excel/2006/main">
          <x14:cfRule type="containsText" priority="1802" operator="containsText" id="{E340B608-D6E8-479C-9C3B-B238639344E9}">
            <xm:f>NOT(ISERROR(SEARCH($Q$12,T852)))</xm:f>
            <xm:f>$Q$12</xm:f>
            <x14:dxf>
              <fill>
                <patternFill>
                  <bgColor rgb="FFFFFF00"/>
                </patternFill>
              </fill>
            </x14:dxf>
          </x14:cfRule>
          <x14:cfRule type="containsText" priority="1803" operator="containsText" id="{E2C9CF22-E071-4451-A521-1E4D21D6C0BF}">
            <xm:f>NOT(ISERROR(SEARCH($Q$12,T852)))</xm:f>
            <xm:f>$Q$12</xm:f>
            <x14:dxf>
              <fill>
                <patternFill>
                  <bgColor theme="9" tint="0.79998168889431442"/>
                </patternFill>
              </fill>
            </x14:dxf>
          </x14:cfRule>
          <x14:cfRule type="containsText" priority="1804" operator="containsText" id="{4C2E196C-2BC3-4981-B475-BFB2DD663D67}">
            <xm:f>NOT(ISERROR(SEARCH($Q$12,T852)))</xm:f>
            <xm:f>$Q$12</xm:f>
            <x14:dxf>
              <fill>
                <patternFill>
                  <bgColor theme="9" tint="0.39994506668294322"/>
                </patternFill>
              </fill>
            </x14:dxf>
          </x14:cfRule>
          <x14:cfRule type="containsText" priority="1805" operator="containsText" id="{9FD07D18-EF78-4FBC-8964-6BCA61BA8A63}">
            <xm:f>NOT(ISERROR(SEARCH($Q$12,T852)))</xm:f>
            <xm:f>$Q$12</xm:f>
            <x14:dxf>
              <fill>
                <patternFill>
                  <bgColor rgb="FF00B050"/>
                </patternFill>
              </fill>
            </x14:dxf>
          </x14:cfRule>
          <x14:cfRule type="containsText" priority="1807" operator="containsText" id="{1A6B8E02-B875-4F15-BFB8-ED8C1830930F}">
            <xm:f>NOT(ISERROR(SEARCH($Q$12,T852)))</xm:f>
            <xm:f>$Q$12</xm:f>
            <x14:dxf>
              <fill>
                <patternFill>
                  <bgColor rgb="FFFFFF00"/>
                </patternFill>
              </fill>
            </x14:dxf>
          </x14:cfRule>
          <x14:cfRule type="containsText" priority="1808" operator="containsText" id="{24D4F778-FA7E-4EBF-B7A4-5B31453FCFD8}">
            <xm:f>NOT(ISERROR(SEARCH($Q$12,T852)))</xm:f>
            <xm:f>$Q$12</xm:f>
            <x14:dxf>
              <fill>
                <patternFill>
                  <bgColor rgb="FFFFC000"/>
                </patternFill>
              </fill>
            </x14:dxf>
          </x14:cfRule>
          <x14:cfRule type="containsText" priority="1809" operator="containsText" id="{8A7826C7-35D1-42C6-8B41-76FF22920A7A}">
            <xm:f>NOT(ISERROR(SEARCH($Q$12,T852)))</xm:f>
            <xm:f>$Q$12</xm:f>
            <x14:dxf>
              <fill>
                <patternFill>
                  <bgColor rgb="FFFF0000"/>
                </patternFill>
              </fill>
            </x14:dxf>
          </x14:cfRule>
          <x14:cfRule type="containsText" priority="1810" operator="containsText" id="{E3D43D6E-A767-4A54-9EBF-1116FBF838BA}">
            <xm:f>NOT(ISERROR(SEARCH($Q$12,T852)))</xm:f>
            <xm:f>$Q$12</xm:f>
            <x14:dxf>
              <fill>
                <patternFill>
                  <bgColor theme="9" tint="0.59996337778862885"/>
                </patternFill>
              </fill>
            </x14:dxf>
          </x14:cfRule>
          <x14:cfRule type="containsText" priority="1811" operator="containsText" id="{D5BF359F-6E44-4E87-8387-449C53E82B46}">
            <xm:f>NOT(ISERROR(SEARCH($Q$12,T852)))</xm:f>
            <xm:f>$Q$12</xm:f>
            <x14:dxf>
              <fill>
                <patternFill>
                  <bgColor theme="9"/>
                </patternFill>
              </fill>
            </x14:dxf>
          </x14:cfRule>
          <x14:cfRule type="containsText" priority="1812" operator="containsText" id="{F1540DEB-5274-4ECE-9A25-49DD2B194C33}">
            <xm:f>NOT(ISERROR(SEARCH($Q$12,T852)))</xm:f>
            <xm:f>$Q$12</xm:f>
            <x14:dxf>
              <fill>
                <patternFill>
                  <bgColor rgb="FFFFFF00"/>
                </patternFill>
              </fill>
            </x14:dxf>
          </x14:cfRule>
          <x14:cfRule type="containsText" priority="1813" operator="containsText" id="{3CA8A6A7-29FF-4E05-8D3F-AB0151E1F7A4}">
            <xm:f>NOT(ISERROR(SEARCH($Q$12,T852)))</xm:f>
            <xm:f>$Q$12</xm:f>
            <x14:dxf>
              <fill>
                <patternFill>
                  <bgColor rgb="FFFFC000"/>
                </patternFill>
              </fill>
            </x14:dxf>
          </x14:cfRule>
          <x14:cfRule type="containsText" priority="1814" operator="containsText" id="{72FD28E3-0D19-4A41-BFE0-9DF54343E169}">
            <xm:f>NOT(ISERROR(SEARCH($Q$12,T852)))</xm:f>
            <xm:f>$Q$12</xm:f>
            <x14:dxf>
              <fill>
                <patternFill>
                  <bgColor rgb="FFFF0000"/>
                </patternFill>
              </fill>
            </x14:dxf>
          </x14:cfRule>
          <x14:cfRule type="containsText" priority="1806" operator="containsText" id="{50474B81-FFE5-4B89-9F10-13C7B85C54B6}">
            <xm:f>NOT(ISERROR(SEARCH($Q$12,T852)))</xm:f>
            <xm:f>$Q$12</xm:f>
            <x14:dxf/>
          </x14:cfRule>
          <xm:sqref>T852</xm:sqref>
        </x14:conditionalFormatting>
        <x14:conditionalFormatting xmlns:xm="http://schemas.microsoft.com/office/excel/2006/main">
          <x14:cfRule type="containsText" priority="1757" operator="containsText" id="{FCC73B8F-EA4E-4EED-A5BE-65CF1292127C}">
            <xm:f>NOT(ISERROR(SEARCH($Q$12,T862)))</xm:f>
            <xm:f>$Q$12</xm:f>
            <x14:dxf>
              <fill>
                <patternFill>
                  <bgColor rgb="FF00B050"/>
                </patternFill>
              </fill>
            </x14:dxf>
          </x14:cfRule>
          <x14:cfRule type="containsText" priority="1758" operator="containsText" id="{D756C4EA-9DB0-4300-9A33-88CBF8C54949}">
            <xm:f>NOT(ISERROR(SEARCH($Q$12,T862)))</xm:f>
            <xm:f>$Q$12</xm:f>
            <x14:dxf/>
          </x14:cfRule>
          <x14:cfRule type="containsText" priority="1759" operator="containsText" id="{EFD756CC-07A4-4A8F-A9A9-86AD41DA91FB}">
            <xm:f>NOT(ISERROR(SEARCH($Q$12,T862)))</xm:f>
            <xm:f>$Q$12</xm:f>
            <x14:dxf>
              <fill>
                <patternFill>
                  <bgColor rgb="FFFFFF00"/>
                </patternFill>
              </fill>
            </x14:dxf>
          </x14:cfRule>
          <x14:cfRule type="containsText" priority="1766" operator="containsText" id="{45414156-BBB2-46D9-AE6E-4362A5CB5680}">
            <xm:f>NOT(ISERROR(SEARCH($Q$12,T862)))</xm:f>
            <xm:f>$Q$12</xm:f>
            <x14:dxf>
              <fill>
                <patternFill>
                  <bgColor rgb="FFFF0000"/>
                </patternFill>
              </fill>
            </x14:dxf>
          </x14:cfRule>
          <x14:cfRule type="containsText" priority="1765" operator="containsText" id="{60B9940B-DE03-485F-8288-E2EDD05D6AC3}">
            <xm:f>NOT(ISERROR(SEARCH($Q$12,T862)))</xm:f>
            <xm:f>$Q$12</xm:f>
            <x14:dxf>
              <fill>
                <patternFill>
                  <bgColor rgb="FFFFC000"/>
                </patternFill>
              </fill>
            </x14:dxf>
          </x14:cfRule>
          <x14:cfRule type="containsText" priority="1764" operator="containsText" id="{E2B3D422-647B-40B5-81D4-BD78B8C0BEB5}">
            <xm:f>NOT(ISERROR(SEARCH($Q$12,T862)))</xm:f>
            <xm:f>$Q$12</xm:f>
            <x14:dxf>
              <fill>
                <patternFill>
                  <bgColor rgb="FFFFFF00"/>
                </patternFill>
              </fill>
            </x14:dxf>
          </x14:cfRule>
          <x14:cfRule type="containsText" priority="1763" operator="containsText" id="{5F7DA3CD-7D3B-4798-8DC5-22DB038B5CC7}">
            <xm:f>NOT(ISERROR(SEARCH($Q$12,T862)))</xm:f>
            <xm:f>$Q$12</xm:f>
            <x14:dxf>
              <fill>
                <patternFill>
                  <bgColor theme="9"/>
                </patternFill>
              </fill>
            </x14:dxf>
          </x14:cfRule>
          <x14:cfRule type="containsText" priority="1762" operator="containsText" id="{0E9F6838-9D27-4F41-820F-F6D10CBD4F99}">
            <xm:f>NOT(ISERROR(SEARCH($Q$12,T862)))</xm:f>
            <xm:f>$Q$12</xm:f>
            <x14:dxf>
              <fill>
                <patternFill>
                  <bgColor theme="9" tint="0.59996337778862885"/>
                </patternFill>
              </fill>
            </x14:dxf>
          </x14:cfRule>
          <x14:cfRule type="containsText" priority="1761" operator="containsText" id="{6EAD5249-F5DA-482F-A7CD-48A26207689B}">
            <xm:f>NOT(ISERROR(SEARCH($Q$12,T862)))</xm:f>
            <xm:f>$Q$12</xm:f>
            <x14:dxf>
              <fill>
                <patternFill>
                  <bgColor rgb="FFFF0000"/>
                </patternFill>
              </fill>
            </x14:dxf>
          </x14:cfRule>
          <x14:cfRule type="containsText" priority="1754" operator="containsText" id="{AB6AF5AB-FCEB-4BA5-8783-AD389C974926}">
            <xm:f>NOT(ISERROR(SEARCH($Q$12,T862)))</xm:f>
            <xm:f>$Q$12</xm:f>
            <x14:dxf>
              <fill>
                <patternFill>
                  <bgColor rgb="FFFFFF00"/>
                </patternFill>
              </fill>
            </x14:dxf>
          </x14:cfRule>
          <x14:cfRule type="containsText" priority="1755" operator="containsText" id="{92852D45-11EB-453B-9BFD-A00AFAC35C59}">
            <xm:f>NOT(ISERROR(SEARCH($Q$12,T862)))</xm:f>
            <xm:f>$Q$12</xm:f>
            <x14:dxf>
              <fill>
                <patternFill>
                  <bgColor theme="9" tint="0.79998168889431442"/>
                </patternFill>
              </fill>
            </x14:dxf>
          </x14:cfRule>
          <x14:cfRule type="containsText" priority="1756" operator="containsText" id="{2B61C68B-6078-4A48-872E-92375E994646}">
            <xm:f>NOT(ISERROR(SEARCH($Q$12,T862)))</xm:f>
            <xm:f>$Q$12</xm:f>
            <x14:dxf>
              <fill>
                <patternFill>
                  <bgColor theme="9" tint="0.39994506668294322"/>
                </patternFill>
              </fill>
            </x14:dxf>
          </x14:cfRule>
          <x14:cfRule type="containsText" priority="1760" operator="containsText" id="{2F3B0D4D-40C3-4A98-9F38-15A1528745BB}">
            <xm:f>NOT(ISERROR(SEARCH($Q$12,T862)))</xm:f>
            <xm:f>$Q$12</xm:f>
            <x14:dxf>
              <fill>
                <patternFill>
                  <bgColor rgb="FFFFC000"/>
                </patternFill>
              </fill>
            </x14:dxf>
          </x14:cfRule>
          <xm:sqref>T862</xm:sqref>
        </x14:conditionalFormatting>
        <x14:conditionalFormatting xmlns:xm="http://schemas.microsoft.com/office/excel/2006/main">
          <x14:cfRule type="containsText" priority="1706" operator="containsText" id="{51426442-940C-4D60-BC71-06D209E2F812}">
            <xm:f>NOT(ISERROR(SEARCH($Q$12,T872)))</xm:f>
            <xm:f>$Q$12</xm:f>
            <x14:dxf>
              <fill>
                <patternFill>
                  <bgColor rgb="FFFFFF00"/>
                </patternFill>
              </fill>
            </x14:dxf>
          </x14:cfRule>
          <x14:cfRule type="containsText" priority="1707" operator="containsText" id="{71BFCA13-8A71-479D-AA78-7748422AA825}">
            <xm:f>NOT(ISERROR(SEARCH($Q$12,T872)))</xm:f>
            <xm:f>$Q$12</xm:f>
            <x14:dxf>
              <fill>
                <patternFill>
                  <bgColor theme="9" tint="0.79998168889431442"/>
                </patternFill>
              </fill>
            </x14:dxf>
          </x14:cfRule>
          <x14:cfRule type="containsText" priority="1715" operator="containsText" id="{ED41ED46-AC61-407F-8C5F-9FD3A28B6589}">
            <xm:f>NOT(ISERROR(SEARCH($Q$12,T872)))</xm:f>
            <xm:f>$Q$12</xm:f>
            <x14:dxf>
              <fill>
                <patternFill>
                  <bgColor theme="9"/>
                </patternFill>
              </fill>
            </x14:dxf>
          </x14:cfRule>
          <x14:cfRule type="containsText" priority="1718" operator="containsText" id="{F7A92ACC-5DC5-4DD0-A8A2-7E6449F7A3C3}">
            <xm:f>NOT(ISERROR(SEARCH($Q$12,T872)))</xm:f>
            <xm:f>$Q$12</xm:f>
            <x14:dxf>
              <fill>
                <patternFill>
                  <bgColor rgb="FFFF0000"/>
                </patternFill>
              </fill>
            </x14:dxf>
          </x14:cfRule>
          <x14:cfRule type="containsText" priority="1712" operator="containsText" id="{60468482-98A9-49AB-9625-7E76E25D07F6}">
            <xm:f>NOT(ISERROR(SEARCH($Q$12,T872)))</xm:f>
            <xm:f>$Q$12</xm:f>
            <x14:dxf>
              <fill>
                <patternFill>
                  <bgColor rgb="FFFFC000"/>
                </patternFill>
              </fill>
            </x14:dxf>
          </x14:cfRule>
          <x14:cfRule type="containsText" priority="1711" operator="containsText" id="{4DFBCAD4-F18E-42EA-9F36-DD996A2FC993}">
            <xm:f>NOT(ISERROR(SEARCH($Q$12,T872)))</xm:f>
            <xm:f>$Q$12</xm:f>
            <x14:dxf>
              <fill>
                <patternFill>
                  <bgColor rgb="FFFFFF00"/>
                </patternFill>
              </fill>
            </x14:dxf>
          </x14:cfRule>
          <x14:cfRule type="containsText" priority="1710" operator="containsText" id="{310E1AFE-38D8-467B-AEE7-9D9D479B2195}">
            <xm:f>NOT(ISERROR(SEARCH($Q$12,T872)))</xm:f>
            <xm:f>$Q$12</xm:f>
            <x14:dxf/>
          </x14:cfRule>
          <x14:cfRule type="containsText" priority="1709" operator="containsText" id="{E5712E55-E87C-45B2-A142-77D70B367572}">
            <xm:f>NOT(ISERROR(SEARCH($Q$12,T872)))</xm:f>
            <xm:f>$Q$12</xm:f>
            <x14:dxf>
              <fill>
                <patternFill>
                  <bgColor rgb="FF00B050"/>
                </patternFill>
              </fill>
            </x14:dxf>
          </x14:cfRule>
          <x14:cfRule type="containsText" priority="1708" operator="containsText" id="{DD84BC80-C2E2-4F5A-A572-2A8FEB62B925}">
            <xm:f>NOT(ISERROR(SEARCH($Q$12,T872)))</xm:f>
            <xm:f>$Q$12</xm:f>
            <x14:dxf>
              <fill>
                <patternFill>
                  <bgColor theme="9" tint="0.39994506668294322"/>
                </patternFill>
              </fill>
            </x14:dxf>
          </x14:cfRule>
          <x14:cfRule type="containsText" priority="1717" operator="containsText" id="{E5B8349B-3F3D-402F-A50A-A184778B887D}">
            <xm:f>NOT(ISERROR(SEARCH($Q$12,T872)))</xm:f>
            <xm:f>$Q$12</xm:f>
            <x14:dxf>
              <fill>
                <patternFill>
                  <bgColor rgb="FFFFC000"/>
                </patternFill>
              </fill>
            </x14:dxf>
          </x14:cfRule>
          <x14:cfRule type="containsText" priority="1716" operator="containsText" id="{56F6D6EE-80C4-448E-84B1-8B573BCE56A9}">
            <xm:f>NOT(ISERROR(SEARCH($Q$12,T872)))</xm:f>
            <xm:f>$Q$12</xm:f>
            <x14:dxf>
              <fill>
                <patternFill>
                  <bgColor rgb="FFFFFF00"/>
                </patternFill>
              </fill>
            </x14:dxf>
          </x14:cfRule>
          <x14:cfRule type="containsText" priority="1714" operator="containsText" id="{45695AF7-33CF-492B-AEE8-8F0D75073046}">
            <xm:f>NOT(ISERROR(SEARCH($Q$12,T872)))</xm:f>
            <xm:f>$Q$12</xm:f>
            <x14:dxf>
              <fill>
                <patternFill>
                  <bgColor theme="9" tint="0.59996337778862885"/>
                </patternFill>
              </fill>
            </x14:dxf>
          </x14:cfRule>
          <x14:cfRule type="containsText" priority="1713" operator="containsText" id="{38E31BCB-BC1F-433E-B5C4-D398440EB022}">
            <xm:f>NOT(ISERROR(SEARCH($Q$12,T872)))</xm:f>
            <xm:f>$Q$12</xm:f>
            <x14:dxf>
              <fill>
                <patternFill>
                  <bgColor rgb="FFFF0000"/>
                </patternFill>
              </fill>
            </x14:dxf>
          </x14:cfRule>
          <xm:sqref>T872</xm:sqref>
        </x14:conditionalFormatting>
        <x14:conditionalFormatting xmlns:xm="http://schemas.microsoft.com/office/excel/2006/main">
          <x14:cfRule type="containsText" priority="1298" operator="containsText" id="{80F641D1-0AEE-4760-8BD0-176F66710C50}">
            <xm:f>NOT(ISERROR(SEARCH($Q$12,T892)))</xm:f>
            <xm:f>$Q$12</xm:f>
            <x14:dxf>
              <fill>
                <patternFill>
                  <bgColor rgb="FFFF0000"/>
                </patternFill>
              </fill>
            </x14:dxf>
          </x14:cfRule>
          <x14:cfRule type="containsText" priority="1297" operator="containsText" id="{2C3014A7-6B60-4CEB-87E8-1D35EBDF1585}">
            <xm:f>NOT(ISERROR(SEARCH($Q$12,T892)))</xm:f>
            <xm:f>$Q$12</xm:f>
            <x14:dxf>
              <fill>
                <patternFill>
                  <bgColor rgb="FFFFC000"/>
                </patternFill>
              </fill>
            </x14:dxf>
          </x14:cfRule>
          <x14:cfRule type="containsText" priority="1296" operator="containsText" id="{F829CBF2-645F-4301-A896-F5FB012F1B33}">
            <xm:f>NOT(ISERROR(SEARCH($Q$12,T892)))</xm:f>
            <xm:f>$Q$12</xm:f>
            <x14:dxf>
              <fill>
                <patternFill>
                  <bgColor rgb="FFFFFF00"/>
                </patternFill>
              </fill>
            </x14:dxf>
          </x14:cfRule>
          <x14:cfRule type="containsText" priority="1295" operator="containsText" id="{BCDB285A-0C9D-4267-9419-890D5130B842}">
            <xm:f>NOT(ISERROR(SEARCH($Q$12,T892)))</xm:f>
            <xm:f>$Q$12</xm:f>
            <x14:dxf>
              <fill>
                <patternFill>
                  <bgColor theme="9"/>
                </patternFill>
              </fill>
            </x14:dxf>
          </x14:cfRule>
          <x14:cfRule type="containsText" priority="1288" operator="containsText" id="{F1EF27E1-D03B-4EE2-82ED-02C2461C81EB}">
            <xm:f>NOT(ISERROR(SEARCH($Q$12,T892)))</xm:f>
            <xm:f>$Q$12</xm:f>
            <x14:dxf>
              <fill>
                <patternFill>
                  <bgColor theme="9" tint="0.39994506668294322"/>
                </patternFill>
              </fill>
            </x14:dxf>
          </x14:cfRule>
          <x14:cfRule type="containsText" priority="1287" operator="containsText" id="{C4EE9D21-DAA4-495C-8730-8913F4148DE0}">
            <xm:f>NOT(ISERROR(SEARCH($Q$12,T892)))</xm:f>
            <xm:f>$Q$12</xm:f>
            <x14:dxf>
              <fill>
                <patternFill>
                  <bgColor theme="9" tint="0.79998168889431442"/>
                </patternFill>
              </fill>
            </x14:dxf>
          </x14:cfRule>
          <x14:cfRule type="containsText" priority="1293" operator="containsText" id="{0C8B697A-24F2-44F8-A105-FAD60273BAE3}">
            <xm:f>NOT(ISERROR(SEARCH($Q$12,T892)))</xm:f>
            <xm:f>$Q$12</xm:f>
            <x14:dxf>
              <fill>
                <patternFill>
                  <bgColor rgb="FFFF0000"/>
                </patternFill>
              </fill>
            </x14:dxf>
          </x14:cfRule>
          <x14:cfRule type="containsText" priority="1292" operator="containsText" id="{8BC2C691-E388-4601-9636-E04786A6EC82}">
            <xm:f>NOT(ISERROR(SEARCH($Q$12,T892)))</xm:f>
            <xm:f>$Q$12</xm:f>
            <x14:dxf>
              <fill>
                <patternFill>
                  <bgColor rgb="FFFFC000"/>
                </patternFill>
              </fill>
            </x14:dxf>
          </x14:cfRule>
          <x14:cfRule type="containsText" priority="1291" operator="containsText" id="{99C08013-4C59-4BAE-9A9F-28B29D701158}">
            <xm:f>NOT(ISERROR(SEARCH($Q$12,T892)))</xm:f>
            <xm:f>$Q$12</xm:f>
            <x14:dxf>
              <fill>
                <patternFill>
                  <bgColor rgb="FFFFFF00"/>
                </patternFill>
              </fill>
            </x14:dxf>
          </x14:cfRule>
          <x14:cfRule type="containsText" priority="1290" operator="containsText" id="{D2F0FA1C-4CDC-4094-B99E-2B880BA2FD06}">
            <xm:f>NOT(ISERROR(SEARCH($Q$12,T892)))</xm:f>
            <xm:f>$Q$12</xm:f>
            <x14:dxf/>
          </x14:cfRule>
          <x14:cfRule type="containsText" priority="1289" operator="containsText" id="{E60159CF-B6AC-423A-8C95-3D81FA4F4DD5}">
            <xm:f>NOT(ISERROR(SEARCH($Q$12,T892)))</xm:f>
            <xm:f>$Q$12</xm:f>
            <x14:dxf>
              <fill>
                <patternFill>
                  <bgColor rgb="FF00B050"/>
                </patternFill>
              </fill>
            </x14:dxf>
          </x14:cfRule>
          <x14:cfRule type="containsText" priority="1286" operator="containsText" id="{E208BBB4-B02C-4189-8F53-AB16B5B0A023}">
            <xm:f>NOT(ISERROR(SEARCH($Q$12,T892)))</xm:f>
            <xm:f>$Q$12</xm:f>
            <x14:dxf>
              <fill>
                <patternFill>
                  <bgColor rgb="FFFFFF00"/>
                </patternFill>
              </fill>
            </x14:dxf>
          </x14:cfRule>
          <x14:cfRule type="containsText" priority="1294" operator="containsText" id="{A8634FBA-3AD3-4E6B-81EF-F08CE3580F5D}">
            <xm:f>NOT(ISERROR(SEARCH($Q$12,T892)))</xm:f>
            <xm:f>$Q$12</xm:f>
            <x14:dxf>
              <fill>
                <patternFill>
                  <bgColor theme="9" tint="0.59996337778862885"/>
                </patternFill>
              </fill>
            </x14:dxf>
          </x14:cfRule>
          <xm:sqref>T892</xm:sqref>
        </x14:conditionalFormatting>
        <x14:conditionalFormatting xmlns:xm="http://schemas.microsoft.com/office/excel/2006/main">
          <x14:cfRule type="containsText" priority="1245" operator="containsText" id="{5A2DAE65-3567-408B-9469-88E756A68649}">
            <xm:f>NOT(ISERROR(SEARCH($Q$12,T902)))</xm:f>
            <xm:f>$Q$12</xm:f>
            <x14:dxf>
              <fill>
                <patternFill>
                  <bgColor rgb="FFFF0000"/>
                </patternFill>
              </fill>
            </x14:dxf>
          </x14:cfRule>
          <x14:cfRule type="containsText" priority="1246" operator="containsText" id="{E6461B79-29EF-44D9-A1AA-2B3284581908}">
            <xm:f>NOT(ISERROR(SEARCH($Q$12,T902)))</xm:f>
            <xm:f>$Q$12</xm:f>
            <x14:dxf>
              <fill>
                <patternFill>
                  <bgColor theme="9" tint="0.59996337778862885"/>
                </patternFill>
              </fill>
            </x14:dxf>
          </x14:cfRule>
          <x14:cfRule type="containsText" priority="1247" operator="containsText" id="{BA855ABD-D05B-470A-BB90-2BEA885C84C5}">
            <xm:f>NOT(ISERROR(SEARCH($Q$12,T902)))</xm:f>
            <xm:f>$Q$12</xm:f>
            <x14:dxf>
              <fill>
                <patternFill>
                  <bgColor theme="9"/>
                </patternFill>
              </fill>
            </x14:dxf>
          </x14:cfRule>
          <x14:cfRule type="containsText" priority="1248" operator="containsText" id="{14544F57-1012-4995-8A39-DDF6452F81D4}">
            <xm:f>NOT(ISERROR(SEARCH($Q$12,T902)))</xm:f>
            <xm:f>$Q$12</xm:f>
            <x14:dxf>
              <fill>
                <patternFill>
                  <bgColor rgb="FFFFFF00"/>
                </patternFill>
              </fill>
            </x14:dxf>
          </x14:cfRule>
          <x14:cfRule type="containsText" priority="1249" operator="containsText" id="{C5CFC1B7-BF9B-4025-9D4F-683FEFFBB6E9}">
            <xm:f>NOT(ISERROR(SEARCH($Q$12,T902)))</xm:f>
            <xm:f>$Q$12</xm:f>
            <x14:dxf>
              <fill>
                <patternFill>
                  <bgColor rgb="FFFFC000"/>
                </patternFill>
              </fill>
            </x14:dxf>
          </x14:cfRule>
          <x14:cfRule type="containsText" priority="1250" operator="containsText" id="{B64376A2-B77B-4671-867E-B8E3A51722FC}">
            <xm:f>NOT(ISERROR(SEARCH($Q$12,T902)))</xm:f>
            <xm:f>$Q$12</xm:f>
            <x14:dxf>
              <fill>
                <patternFill>
                  <bgColor rgb="FFFF0000"/>
                </patternFill>
              </fill>
            </x14:dxf>
          </x14:cfRule>
          <x14:cfRule type="containsText" priority="1241" operator="containsText" id="{3824AB46-34BF-47EB-8536-2C49386C153E}">
            <xm:f>NOT(ISERROR(SEARCH($Q$12,T902)))</xm:f>
            <xm:f>$Q$12</xm:f>
            <x14:dxf>
              <fill>
                <patternFill>
                  <bgColor rgb="FF00B050"/>
                </patternFill>
              </fill>
            </x14:dxf>
          </x14:cfRule>
          <x14:cfRule type="containsText" priority="1242" operator="containsText" id="{D2589C4C-054E-4B6F-AC24-97CED62C7DEE}">
            <xm:f>NOT(ISERROR(SEARCH($Q$12,T902)))</xm:f>
            <xm:f>$Q$12</xm:f>
            <x14:dxf/>
          </x14:cfRule>
          <x14:cfRule type="containsText" priority="1243" operator="containsText" id="{2370A7FB-F622-4E69-9D72-023A466A35FA}">
            <xm:f>NOT(ISERROR(SEARCH($Q$12,T902)))</xm:f>
            <xm:f>$Q$12</xm:f>
            <x14:dxf>
              <fill>
                <patternFill>
                  <bgColor rgb="FFFFFF00"/>
                </patternFill>
              </fill>
            </x14:dxf>
          </x14:cfRule>
          <x14:cfRule type="containsText" priority="1244" operator="containsText" id="{5D009CE2-2F0A-40BD-AAA4-ABFDB6BC9E96}">
            <xm:f>NOT(ISERROR(SEARCH($Q$12,T902)))</xm:f>
            <xm:f>$Q$12</xm:f>
            <x14:dxf>
              <fill>
                <patternFill>
                  <bgColor rgb="FFFFC000"/>
                </patternFill>
              </fill>
            </x14:dxf>
          </x14:cfRule>
          <x14:cfRule type="containsText" priority="1239" operator="containsText" id="{F8E7FB7D-922A-40E8-8B60-1A9D7DAE407F}">
            <xm:f>NOT(ISERROR(SEARCH($Q$12,T902)))</xm:f>
            <xm:f>$Q$12</xm:f>
            <x14:dxf>
              <fill>
                <patternFill>
                  <bgColor theme="9" tint="0.79998168889431442"/>
                </patternFill>
              </fill>
            </x14:dxf>
          </x14:cfRule>
          <x14:cfRule type="containsText" priority="1238" operator="containsText" id="{534E0446-EB55-437E-8901-A161581ADB1D}">
            <xm:f>NOT(ISERROR(SEARCH($Q$12,T902)))</xm:f>
            <xm:f>$Q$12</xm:f>
            <x14:dxf>
              <fill>
                <patternFill>
                  <bgColor rgb="FFFFFF00"/>
                </patternFill>
              </fill>
            </x14:dxf>
          </x14:cfRule>
          <x14:cfRule type="containsText" priority="1240" operator="containsText" id="{5E39D54F-2E77-48A7-B3BF-20B472BA44EB}">
            <xm:f>NOT(ISERROR(SEARCH($Q$12,T902)))</xm:f>
            <xm:f>$Q$12</xm:f>
            <x14:dxf>
              <fill>
                <patternFill>
                  <bgColor theme="9" tint="0.39994506668294322"/>
                </patternFill>
              </fill>
            </x14:dxf>
          </x14:cfRule>
          <xm:sqref>T902</xm:sqref>
        </x14:conditionalFormatting>
        <x14:conditionalFormatting xmlns:xm="http://schemas.microsoft.com/office/excel/2006/main">
          <x14:cfRule type="containsText" priority="1199" operator="containsText" id="{F5349804-02FE-45B2-962E-CF83CCA18815}">
            <xm:f>NOT(ISERROR(SEARCH($Q$12,T912)))</xm:f>
            <xm:f>$Q$12</xm:f>
            <x14:dxf>
              <fill>
                <patternFill>
                  <bgColor theme="9"/>
                </patternFill>
              </fill>
            </x14:dxf>
          </x14:cfRule>
          <x14:cfRule type="containsText" priority="1190" operator="containsText" id="{A312059D-0CAE-4353-A03D-4EFDBE03A238}">
            <xm:f>NOT(ISERROR(SEARCH($Q$12,T912)))</xm:f>
            <xm:f>$Q$12</xm:f>
            <x14:dxf>
              <fill>
                <patternFill>
                  <bgColor rgb="FFFFFF00"/>
                </patternFill>
              </fill>
            </x14:dxf>
          </x14:cfRule>
          <x14:cfRule type="containsText" priority="1202" operator="containsText" id="{7929FE48-A74F-406B-8529-84863F556AEF}">
            <xm:f>NOT(ISERROR(SEARCH($Q$12,T912)))</xm:f>
            <xm:f>$Q$12</xm:f>
            <x14:dxf>
              <fill>
                <patternFill>
                  <bgColor rgb="FFFF0000"/>
                </patternFill>
              </fill>
            </x14:dxf>
          </x14:cfRule>
          <x14:cfRule type="containsText" priority="1201" operator="containsText" id="{1B923D86-6BAA-4485-865B-954AB5737011}">
            <xm:f>NOT(ISERROR(SEARCH($Q$12,T912)))</xm:f>
            <xm:f>$Q$12</xm:f>
            <x14:dxf>
              <fill>
                <patternFill>
                  <bgColor rgb="FFFFC000"/>
                </patternFill>
              </fill>
            </x14:dxf>
          </x14:cfRule>
          <x14:cfRule type="containsText" priority="1200" operator="containsText" id="{E34F2A3D-F491-4877-AA9F-FEF96120FAB3}">
            <xm:f>NOT(ISERROR(SEARCH($Q$12,T912)))</xm:f>
            <xm:f>$Q$12</xm:f>
            <x14:dxf>
              <fill>
                <patternFill>
                  <bgColor rgb="FFFFFF00"/>
                </patternFill>
              </fill>
            </x14:dxf>
          </x14:cfRule>
          <x14:cfRule type="containsText" priority="1198" operator="containsText" id="{F9FD3F10-ABE8-4AC6-8089-629A617ED91D}">
            <xm:f>NOT(ISERROR(SEARCH($Q$12,T912)))</xm:f>
            <xm:f>$Q$12</xm:f>
            <x14:dxf>
              <fill>
                <patternFill>
                  <bgColor theme="9" tint="0.59996337778862885"/>
                </patternFill>
              </fill>
            </x14:dxf>
          </x14:cfRule>
          <x14:cfRule type="containsText" priority="1197" operator="containsText" id="{1FD6AF88-2E51-4627-9958-E605417A2D2D}">
            <xm:f>NOT(ISERROR(SEARCH($Q$12,T912)))</xm:f>
            <xm:f>$Q$12</xm:f>
            <x14:dxf>
              <fill>
                <patternFill>
                  <bgColor rgb="FFFF0000"/>
                </patternFill>
              </fill>
            </x14:dxf>
          </x14:cfRule>
          <x14:cfRule type="containsText" priority="1196" operator="containsText" id="{862158F3-0720-4E95-832A-06BDC5AD4B25}">
            <xm:f>NOT(ISERROR(SEARCH($Q$12,T912)))</xm:f>
            <xm:f>$Q$12</xm:f>
            <x14:dxf>
              <fill>
                <patternFill>
                  <bgColor rgb="FFFFC000"/>
                </patternFill>
              </fill>
            </x14:dxf>
          </x14:cfRule>
          <x14:cfRule type="containsText" priority="1195" operator="containsText" id="{3CDB4663-2EC2-4A4F-BF0E-E8D0B7CF8891}">
            <xm:f>NOT(ISERROR(SEARCH($Q$12,T912)))</xm:f>
            <xm:f>$Q$12</xm:f>
            <x14:dxf>
              <fill>
                <patternFill>
                  <bgColor rgb="FFFFFF00"/>
                </patternFill>
              </fill>
            </x14:dxf>
          </x14:cfRule>
          <x14:cfRule type="containsText" priority="1194" operator="containsText" id="{700F1075-DD21-4DAA-B64B-2B50D0915FB1}">
            <xm:f>NOT(ISERROR(SEARCH($Q$12,T912)))</xm:f>
            <xm:f>$Q$12</xm:f>
            <x14:dxf/>
          </x14:cfRule>
          <x14:cfRule type="containsText" priority="1193" operator="containsText" id="{26912AA9-EA64-460C-8204-654BEA785B4C}">
            <xm:f>NOT(ISERROR(SEARCH($Q$12,T912)))</xm:f>
            <xm:f>$Q$12</xm:f>
            <x14:dxf>
              <fill>
                <patternFill>
                  <bgColor rgb="FF00B050"/>
                </patternFill>
              </fill>
            </x14:dxf>
          </x14:cfRule>
          <x14:cfRule type="containsText" priority="1192" operator="containsText" id="{B3682BF0-9800-4BAC-8D4B-3C0424BB268D}">
            <xm:f>NOT(ISERROR(SEARCH($Q$12,T912)))</xm:f>
            <xm:f>$Q$12</xm:f>
            <x14:dxf>
              <fill>
                <patternFill>
                  <bgColor theme="9" tint="0.39994506668294322"/>
                </patternFill>
              </fill>
            </x14:dxf>
          </x14:cfRule>
          <x14:cfRule type="containsText" priority="1191" operator="containsText" id="{5D4E5A6F-61EA-4636-A7C9-70D43CBB2567}">
            <xm:f>NOT(ISERROR(SEARCH($Q$12,T912)))</xm:f>
            <xm:f>$Q$12</xm:f>
            <x14:dxf>
              <fill>
                <patternFill>
                  <bgColor theme="9" tint="0.79998168889431442"/>
                </patternFill>
              </fill>
            </x14:dxf>
          </x14:cfRule>
          <xm:sqref>T912</xm:sqref>
        </x14:conditionalFormatting>
        <x14:conditionalFormatting xmlns:xm="http://schemas.microsoft.com/office/excel/2006/main">
          <x14:cfRule type="containsText" priority="1148" operator="containsText" id="{EB7F0ABF-EDFD-450E-A2DC-B4B905E6BC74}">
            <xm:f>NOT(ISERROR(SEARCH($Q$12,T922)))</xm:f>
            <xm:f>$Q$12</xm:f>
            <x14:dxf>
              <fill>
                <patternFill>
                  <bgColor rgb="FFFFC000"/>
                </patternFill>
              </fill>
            </x14:dxf>
          </x14:cfRule>
          <x14:cfRule type="containsText" priority="1147" operator="containsText" id="{5E65E7EF-D145-4FBA-BEBE-53F222E9F9C6}">
            <xm:f>NOT(ISERROR(SEARCH($Q$12,T922)))</xm:f>
            <xm:f>$Q$12</xm:f>
            <x14:dxf>
              <fill>
                <patternFill>
                  <bgColor rgb="FFFFFF00"/>
                </patternFill>
              </fill>
            </x14:dxf>
          </x14:cfRule>
          <x14:cfRule type="containsText" priority="1146" operator="containsText" id="{0D93159E-1399-4661-8C37-6136913A3FD2}">
            <xm:f>NOT(ISERROR(SEARCH($Q$12,T922)))</xm:f>
            <xm:f>$Q$12</xm:f>
            <x14:dxf/>
          </x14:cfRule>
          <x14:cfRule type="containsText" priority="1145" operator="containsText" id="{1D6F9E82-5A1D-4D13-BA40-762ABCFD8626}">
            <xm:f>NOT(ISERROR(SEARCH($Q$12,T922)))</xm:f>
            <xm:f>$Q$12</xm:f>
            <x14:dxf>
              <fill>
                <patternFill>
                  <bgColor rgb="FF00B050"/>
                </patternFill>
              </fill>
            </x14:dxf>
          </x14:cfRule>
          <x14:cfRule type="containsText" priority="1144" operator="containsText" id="{B6C532F2-A33B-4F36-9E40-C64336DAA2A5}">
            <xm:f>NOT(ISERROR(SEARCH($Q$12,T922)))</xm:f>
            <xm:f>$Q$12</xm:f>
            <x14:dxf>
              <fill>
                <patternFill>
                  <bgColor theme="9" tint="0.39994506668294322"/>
                </patternFill>
              </fill>
            </x14:dxf>
          </x14:cfRule>
          <x14:cfRule type="containsText" priority="1143" operator="containsText" id="{2ED8CC44-44AA-4364-8B93-0FE00D182B8D}">
            <xm:f>NOT(ISERROR(SEARCH($Q$12,T922)))</xm:f>
            <xm:f>$Q$12</xm:f>
            <x14:dxf>
              <fill>
                <patternFill>
                  <bgColor theme="9" tint="0.79998168889431442"/>
                </patternFill>
              </fill>
            </x14:dxf>
          </x14:cfRule>
          <x14:cfRule type="containsText" priority="1142" operator="containsText" id="{D66E81B0-53BC-4341-B4DE-27033FC42D8E}">
            <xm:f>NOT(ISERROR(SEARCH($Q$12,T922)))</xm:f>
            <xm:f>$Q$12</xm:f>
            <x14:dxf>
              <fill>
                <patternFill>
                  <bgColor rgb="FFFFFF00"/>
                </patternFill>
              </fill>
            </x14:dxf>
          </x14:cfRule>
          <x14:cfRule type="containsText" priority="1154" operator="containsText" id="{587C7B0B-2B0F-4D7F-AC3A-7A43E41FBCD2}">
            <xm:f>NOT(ISERROR(SEARCH($Q$12,T922)))</xm:f>
            <xm:f>$Q$12</xm:f>
            <x14:dxf>
              <fill>
                <patternFill>
                  <bgColor rgb="FFFF0000"/>
                </patternFill>
              </fill>
            </x14:dxf>
          </x14:cfRule>
          <x14:cfRule type="containsText" priority="1153" operator="containsText" id="{EA1307EC-2175-4F86-828D-F5F72C1D05AE}">
            <xm:f>NOT(ISERROR(SEARCH($Q$12,T922)))</xm:f>
            <xm:f>$Q$12</xm:f>
            <x14:dxf>
              <fill>
                <patternFill>
                  <bgColor rgb="FFFFC000"/>
                </patternFill>
              </fill>
            </x14:dxf>
          </x14:cfRule>
          <x14:cfRule type="containsText" priority="1152" operator="containsText" id="{1EFF1292-CCD5-4539-B2A3-7A3E4700BA8D}">
            <xm:f>NOT(ISERROR(SEARCH($Q$12,T922)))</xm:f>
            <xm:f>$Q$12</xm:f>
            <x14:dxf>
              <fill>
                <patternFill>
                  <bgColor rgb="FFFFFF00"/>
                </patternFill>
              </fill>
            </x14:dxf>
          </x14:cfRule>
          <x14:cfRule type="containsText" priority="1151" operator="containsText" id="{4FCBF67F-1025-4ADB-AA48-315788C1CA32}">
            <xm:f>NOT(ISERROR(SEARCH($Q$12,T922)))</xm:f>
            <xm:f>$Q$12</xm:f>
            <x14:dxf>
              <fill>
                <patternFill>
                  <bgColor theme="9"/>
                </patternFill>
              </fill>
            </x14:dxf>
          </x14:cfRule>
          <x14:cfRule type="containsText" priority="1150" operator="containsText" id="{B3CD07D7-CC75-49EC-947B-A0F63ADE0345}">
            <xm:f>NOT(ISERROR(SEARCH($Q$12,T922)))</xm:f>
            <xm:f>$Q$12</xm:f>
            <x14:dxf>
              <fill>
                <patternFill>
                  <bgColor theme="9" tint="0.59996337778862885"/>
                </patternFill>
              </fill>
            </x14:dxf>
          </x14:cfRule>
          <x14:cfRule type="containsText" priority="1149" operator="containsText" id="{760A65E1-E958-46E4-BAF0-40D7712F2480}">
            <xm:f>NOT(ISERROR(SEARCH($Q$12,T922)))</xm:f>
            <xm:f>$Q$12</xm:f>
            <x14:dxf>
              <fill>
                <patternFill>
                  <bgColor rgb="FFFF0000"/>
                </patternFill>
              </fill>
            </x14:dxf>
          </x14:cfRule>
          <xm:sqref>T922</xm:sqref>
        </x14:conditionalFormatting>
        <x14:conditionalFormatting xmlns:xm="http://schemas.microsoft.com/office/excel/2006/main">
          <x14:cfRule type="containsText" priority="1104" operator="containsText" id="{16E548D2-4410-4C2A-809F-110DEA76E53B}">
            <xm:f>NOT(ISERROR(SEARCH($Q$12,T932)))</xm:f>
            <xm:f>$Q$12</xm:f>
            <x14:dxf>
              <fill>
                <patternFill>
                  <bgColor rgb="FFFFFF00"/>
                </patternFill>
              </fill>
            </x14:dxf>
          </x14:cfRule>
          <x14:cfRule type="containsText" priority="1103" operator="containsText" id="{46B1A2D2-0D7E-4BCC-B35C-374A0BC97749}">
            <xm:f>NOT(ISERROR(SEARCH($Q$12,T932)))</xm:f>
            <xm:f>$Q$12</xm:f>
            <x14:dxf>
              <fill>
                <patternFill>
                  <bgColor theme="9"/>
                </patternFill>
              </fill>
            </x14:dxf>
          </x14:cfRule>
          <x14:cfRule type="containsText" priority="1102" operator="containsText" id="{CB048BE8-37C3-4678-8757-1F8EB5AC7768}">
            <xm:f>NOT(ISERROR(SEARCH($Q$12,T932)))</xm:f>
            <xm:f>$Q$12</xm:f>
            <x14:dxf>
              <fill>
                <patternFill>
                  <bgColor theme="9" tint="0.59996337778862885"/>
                </patternFill>
              </fill>
            </x14:dxf>
          </x14:cfRule>
          <x14:cfRule type="containsText" priority="1101" operator="containsText" id="{EEC4715B-11D3-43A1-9B58-23C0BC63A31D}">
            <xm:f>NOT(ISERROR(SEARCH($Q$12,T932)))</xm:f>
            <xm:f>$Q$12</xm:f>
            <x14:dxf>
              <fill>
                <patternFill>
                  <bgColor rgb="FFFF0000"/>
                </patternFill>
              </fill>
            </x14:dxf>
          </x14:cfRule>
          <x14:cfRule type="containsText" priority="1100" operator="containsText" id="{34D298F5-90F1-414F-93FF-55B07B83E7D3}">
            <xm:f>NOT(ISERROR(SEARCH($Q$12,T932)))</xm:f>
            <xm:f>$Q$12</xm:f>
            <x14:dxf>
              <fill>
                <patternFill>
                  <bgColor rgb="FFFFC000"/>
                </patternFill>
              </fill>
            </x14:dxf>
          </x14:cfRule>
          <x14:cfRule type="containsText" priority="1099" operator="containsText" id="{0FC56F5A-8FF6-4536-8342-F34C5F6D17F7}">
            <xm:f>NOT(ISERROR(SEARCH($Q$12,T932)))</xm:f>
            <xm:f>$Q$12</xm:f>
            <x14:dxf>
              <fill>
                <patternFill>
                  <bgColor rgb="FFFFFF00"/>
                </patternFill>
              </fill>
            </x14:dxf>
          </x14:cfRule>
          <x14:cfRule type="containsText" priority="1098" operator="containsText" id="{6D9610BB-FEA9-444D-9E1D-3219145C0DE9}">
            <xm:f>NOT(ISERROR(SEARCH($Q$12,T932)))</xm:f>
            <xm:f>$Q$12</xm:f>
            <x14:dxf/>
          </x14:cfRule>
          <x14:cfRule type="containsText" priority="1097" operator="containsText" id="{14B23261-C9FD-4526-A66A-4D280EAA37BF}">
            <xm:f>NOT(ISERROR(SEARCH($Q$12,T932)))</xm:f>
            <xm:f>$Q$12</xm:f>
            <x14:dxf>
              <fill>
                <patternFill>
                  <bgColor rgb="FF00B050"/>
                </patternFill>
              </fill>
            </x14:dxf>
          </x14:cfRule>
          <x14:cfRule type="containsText" priority="1096" operator="containsText" id="{176709B9-AEF4-412E-8DD6-B05C6F7331C5}">
            <xm:f>NOT(ISERROR(SEARCH($Q$12,T932)))</xm:f>
            <xm:f>$Q$12</xm:f>
            <x14:dxf>
              <fill>
                <patternFill>
                  <bgColor theme="9" tint="0.39994506668294322"/>
                </patternFill>
              </fill>
            </x14:dxf>
          </x14:cfRule>
          <x14:cfRule type="containsText" priority="1095" operator="containsText" id="{4B3B33EC-4CFC-466E-BDCB-062EB413E214}">
            <xm:f>NOT(ISERROR(SEARCH($Q$12,T932)))</xm:f>
            <xm:f>$Q$12</xm:f>
            <x14:dxf>
              <fill>
                <patternFill>
                  <bgColor theme="9" tint="0.79998168889431442"/>
                </patternFill>
              </fill>
            </x14:dxf>
          </x14:cfRule>
          <x14:cfRule type="containsText" priority="1094" operator="containsText" id="{164A4070-8761-4FE2-A434-CA895771EF37}">
            <xm:f>NOT(ISERROR(SEARCH($Q$12,T932)))</xm:f>
            <xm:f>$Q$12</xm:f>
            <x14:dxf>
              <fill>
                <patternFill>
                  <bgColor rgb="FFFFFF00"/>
                </patternFill>
              </fill>
            </x14:dxf>
          </x14:cfRule>
          <x14:cfRule type="containsText" priority="1106" operator="containsText" id="{96E7D5B7-89AE-4375-8241-B287A6DD72A2}">
            <xm:f>NOT(ISERROR(SEARCH($Q$12,T932)))</xm:f>
            <xm:f>$Q$12</xm:f>
            <x14:dxf>
              <fill>
                <patternFill>
                  <bgColor rgb="FFFF0000"/>
                </patternFill>
              </fill>
            </x14:dxf>
          </x14:cfRule>
          <x14:cfRule type="containsText" priority="1105" operator="containsText" id="{F62FC9ED-9380-4A19-90A8-8B31884F19D0}">
            <xm:f>NOT(ISERROR(SEARCH($Q$12,T932)))</xm:f>
            <xm:f>$Q$12</xm:f>
            <x14:dxf>
              <fill>
                <patternFill>
                  <bgColor rgb="FFFFC000"/>
                </patternFill>
              </fill>
            </x14:dxf>
          </x14:cfRule>
          <xm:sqref>T932</xm:sqref>
        </x14:conditionalFormatting>
        <x14:conditionalFormatting xmlns:xm="http://schemas.microsoft.com/office/excel/2006/main">
          <x14:cfRule type="containsText" priority="439" operator="containsText" id="{A1E3B42B-39E3-44EA-8DAF-A67A9BFD468D}">
            <xm:f>NOT(ISERROR(SEARCH($Q$12,T982)))</xm:f>
            <xm:f>$Q$12</xm:f>
            <x14:dxf>
              <fill>
                <patternFill>
                  <bgColor theme="9"/>
                </patternFill>
              </fill>
            </x14:dxf>
          </x14:cfRule>
          <x14:cfRule type="containsText" priority="441" operator="containsText" id="{A7061B11-3A11-480F-84FB-725C046986ED}">
            <xm:f>NOT(ISERROR(SEARCH($Q$12,T982)))</xm:f>
            <xm:f>$Q$12</xm:f>
            <x14:dxf>
              <fill>
                <patternFill>
                  <bgColor rgb="FFFFC000"/>
                </patternFill>
              </fill>
            </x14:dxf>
          </x14:cfRule>
          <x14:cfRule type="containsText" priority="440" operator="containsText" id="{80F96744-1A25-4DF9-B85B-646A8531E75D}">
            <xm:f>NOT(ISERROR(SEARCH($Q$12,T982)))</xm:f>
            <xm:f>$Q$12</xm:f>
            <x14:dxf>
              <fill>
                <patternFill>
                  <bgColor rgb="FFFFFF00"/>
                </patternFill>
              </fill>
            </x14:dxf>
          </x14:cfRule>
          <x14:cfRule type="containsText" priority="434" operator="containsText" id="{A164B724-80CC-43C2-8018-1B766E6A5ABB}">
            <xm:f>NOT(ISERROR(SEARCH($Q$12,T982)))</xm:f>
            <xm:f>$Q$12</xm:f>
            <x14:dxf/>
          </x14:cfRule>
          <x14:cfRule type="containsText" priority="433" operator="containsText" id="{1203433F-A050-436C-AECF-EE8BD26203E7}">
            <xm:f>NOT(ISERROR(SEARCH($Q$12,T982)))</xm:f>
            <xm:f>$Q$12</xm:f>
            <x14:dxf>
              <fill>
                <patternFill>
                  <bgColor rgb="FF00B050"/>
                </patternFill>
              </fill>
            </x14:dxf>
          </x14:cfRule>
          <x14:cfRule type="containsText" priority="438" operator="containsText" id="{2C5BB051-28E5-48CF-9CEA-EEDE02078E8A}">
            <xm:f>NOT(ISERROR(SEARCH($Q$12,T982)))</xm:f>
            <xm:f>$Q$12</xm:f>
            <x14:dxf>
              <fill>
                <patternFill>
                  <bgColor theme="9" tint="0.59996337778862885"/>
                </patternFill>
              </fill>
            </x14:dxf>
          </x14:cfRule>
          <x14:cfRule type="containsText" priority="437" operator="containsText" id="{A7752417-244B-4C15-813C-135D155B3CF4}">
            <xm:f>NOT(ISERROR(SEARCH($Q$12,T982)))</xm:f>
            <xm:f>$Q$12</xm:f>
            <x14:dxf>
              <fill>
                <patternFill>
                  <bgColor rgb="FFFF0000"/>
                </patternFill>
              </fill>
            </x14:dxf>
          </x14:cfRule>
          <x14:cfRule type="containsText" priority="432" operator="containsText" id="{EC6F1493-C396-4B4E-8A96-933AA48E64FC}">
            <xm:f>NOT(ISERROR(SEARCH($Q$12,T982)))</xm:f>
            <xm:f>$Q$12</xm:f>
            <x14:dxf>
              <fill>
                <patternFill>
                  <bgColor theme="9" tint="0.39994506668294322"/>
                </patternFill>
              </fill>
            </x14:dxf>
          </x14:cfRule>
          <x14:cfRule type="containsText" priority="436" operator="containsText" id="{EEC2D2E3-DEDE-483F-B995-62E7ABA3FC1A}">
            <xm:f>NOT(ISERROR(SEARCH($Q$12,T982)))</xm:f>
            <xm:f>$Q$12</xm:f>
            <x14:dxf>
              <fill>
                <patternFill>
                  <bgColor rgb="FFFFC000"/>
                </patternFill>
              </fill>
            </x14:dxf>
          </x14:cfRule>
          <x14:cfRule type="containsText" priority="431" operator="containsText" id="{50C89964-C8FA-4B70-BA05-EB96C20C1AB9}">
            <xm:f>NOT(ISERROR(SEARCH($Q$12,T982)))</xm:f>
            <xm:f>$Q$12</xm:f>
            <x14:dxf>
              <fill>
                <patternFill>
                  <bgColor theme="9" tint="0.79998168889431442"/>
                </patternFill>
              </fill>
            </x14:dxf>
          </x14:cfRule>
          <x14:cfRule type="containsText" priority="430" operator="containsText" id="{BA1CB7B8-B567-4823-8889-466656352A84}">
            <xm:f>NOT(ISERROR(SEARCH($Q$12,T982)))</xm:f>
            <xm:f>$Q$12</xm:f>
            <x14:dxf>
              <fill>
                <patternFill>
                  <bgColor rgb="FFFFFF00"/>
                </patternFill>
              </fill>
            </x14:dxf>
          </x14:cfRule>
          <x14:cfRule type="containsText" priority="435" operator="containsText" id="{D23D6356-EB9F-45DF-A08D-0E05E1A2A4F1}">
            <xm:f>NOT(ISERROR(SEARCH($Q$12,T982)))</xm:f>
            <xm:f>$Q$12</xm:f>
            <x14:dxf>
              <fill>
                <patternFill>
                  <bgColor rgb="FFFFFF00"/>
                </patternFill>
              </fill>
            </x14:dxf>
          </x14:cfRule>
          <x14:cfRule type="containsText" priority="442" operator="containsText" id="{7827820F-E5FD-4A8E-B375-9C53F4DDF916}">
            <xm:f>NOT(ISERROR(SEARCH($Q$12,T982)))</xm:f>
            <xm:f>$Q$12</xm:f>
            <x14:dxf>
              <fill>
                <patternFill>
                  <bgColor rgb="FFFF0000"/>
                </patternFill>
              </fill>
            </x14:dxf>
          </x14:cfRule>
          <xm:sqref>T982</xm:sqref>
        </x14:conditionalFormatting>
        <x14:conditionalFormatting xmlns:xm="http://schemas.microsoft.com/office/excel/2006/main">
          <x14:cfRule type="containsText" priority="387" operator="containsText" id="{52CA8A78-326D-485E-8E1B-01383E68BFAE}">
            <xm:f>NOT(ISERROR(SEARCH($Q$12,T992)))</xm:f>
            <xm:f>$Q$12</xm:f>
            <x14:dxf>
              <fill>
                <patternFill>
                  <bgColor rgb="FFFFFF00"/>
                </patternFill>
              </fill>
            </x14:dxf>
          </x14:cfRule>
          <x14:cfRule type="containsText" priority="389" operator="containsText" id="{FB74F301-68D3-4EBE-A9B8-9AB08209385C}">
            <xm:f>NOT(ISERROR(SEARCH($Q$12,T992)))</xm:f>
            <xm:f>$Q$12</xm:f>
            <x14:dxf>
              <fill>
                <patternFill>
                  <bgColor rgb="FFFF0000"/>
                </patternFill>
              </fill>
            </x14:dxf>
          </x14:cfRule>
          <x14:cfRule type="containsText" priority="390" operator="containsText" id="{0A8F9A6C-BB2B-439A-96FF-DE7D76D8D68C}">
            <xm:f>NOT(ISERROR(SEARCH($Q$12,T992)))</xm:f>
            <xm:f>$Q$12</xm:f>
            <x14:dxf>
              <fill>
                <patternFill>
                  <bgColor theme="9" tint="0.59996337778862885"/>
                </patternFill>
              </fill>
            </x14:dxf>
          </x14:cfRule>
          <x14:cfRule type="containsText" priority="391" operator="containsText" id="{8BF125F4-BAB8-4624-87C3-740C55F0B86C}">
            <xm:f>NOT(ISERROR(SEARCH($Q$12,T992)))</xm:f>
            <xm:f>$Q$12</xm:f>
            <x14:dxf>
              <fill>
                <patternFill>
                  <bgColor theme="9"/>
                </patternFill>
              </fill>
            </x14:dxf>
          </x14:cfRule>
          <x14:cfRule type="containsText" priority="392" operator="containsText" id="{ACF8331D-00C6-4238-B0C1-B603EC69D6E0}">
            <xm:f>NOT(ISERROR(SEARCH($Q$12,T992)))</xm:f>
            <xm:f>$Q$12</xm:f>
            <x14:dxf>
              <fill>
                <patternFill>
                  <bgColor rgb="FFFFFF00"/>
                </patternFill>
              </fill>
            </x14:dxf>
          </x14:cfRule>
          <x14:cfRule type="containsText" priority="386" operator="containsText" id="{96822DD0-4D97-42F7-A3C0-55288BCAC5E2}">
            <xm:f>NOT(ISERROR(SEARCH($Q$12,T992)))</xm:f>
            <xm:f>$Q$12</xm:f>
            <x14:dxf/>
          </x14:cfRule>
          <x14:cfRule type="containsText" priority="388" operator="containsText" id="{2803F884-7B20-4806-A65E-733360B35216}">
            <xm:f>NOT(ISERROR(SEARCH($Q$12,T992)))</xm:f>
            <xm:f>$Q$12</xm:f>
            <x14:dxf>
              <fill>
                <patternFill>
                  <bgColor rgb="FFFFC000"/>
                </patternFill>
              </fill>
            </x14:dxf>
          </x14:cfRule>
          <x14:cfRule type="containsText" priority="394" operator="containsText" id="{F254C508-21D4-4EDA-A299-F0B15A584BAE}">
            <xm:f>NOT(ISERROR(SEARCH($Q$12,T992)))</xm:f>
            <xm:f>$Q$12</xm:f>
            <x14:dxf>
              <fill>
                <patternFill>
                  <bgColor rgb="FFFF0000"/>
                </patternFill>
              </fill>
            </x14:dxf>
          </x14:cfRule>
          <x14:cfRule type="containsText" priority="393" operator="containsText" id="{A2FC03D0-74B4-4B51-B3FE-266FE70884D8}">
            <xm:f>NOT(ISERROR(SEARCH($Q$12,T992)))</xm:f>
            <xm:f>$Q$12</xm:f>
            <x14:dxf>
              <fill>
                <patternFill>
                  <bgColor rgb="FFFFC000"/>
                </patternFill>
              </fill>
            </x14:dxf>
          </x14:cfRule>
          <x14:cfRule type="containsText" priority="385" operator="containsText" id="{97CB018A-38C2-4323-A422-7D4782837E07}">
            <xm:f>NOT(ISERROR(SEARCH($Q$12,T992)))</xm:f>
            <xm:f>$Q$12</xm:f>
            <x14:dxf>
              <fill>
                <patternFill>
                  <bgColor rgb="FF00B050"/>
                </patternFill>
              </fill>
            </x14:dxf>
          </x14:cfRule>
          <x14:cfRule type="containsText" priority="384" operator="containsText" id="{970C7CE4-0FE4-42E4-8EED-3BBCDA80EB3F}">
            <xm:f>NOT(ISERROR(SEARCH($Q$12,T992)))</xm:f>
            <xm:f>$Q$12</xm:f>
            <x14:dxf>
              <fill>
                <patternFill>
                  <bgColor theme="9" tint="0.39994506668294322"/>
                </patternFill>
              </fill>
            </x14:dxf>
          </x14:cfRule>
          <x14:cfRule type="containsText" priority="383" operator="containsText" id="{C8141E98-5821-4EDA-B288-A90B86785C3F}">
            <xm:f>NOT(ISERROR(SEARCH($Q$12,T992)))</xm:f>
            <xm:f>$Q$12</xm:f>
            <x14:dxf>
              <fill>
                <patternFill>
                  <bgColor theme="9" tint="0.79998168889431442"/>
                </patternFill>
              </fill>
            </x14:dxf>
          </x14:cfRule>
          <x14:cfRule type="containsText" priority="382" operator="containsText" id="{805FD2FA-7302-4982-A12C-93A8A1F5B20F}">
            <xm:f>NOT(ISERROR(SEARCH($Q$12,T992)))</xm:f>
            <xm:f>$Q$12</xm:f>
            <x14:dxf>
              <fill>
                <patternFill>
                  <bgColor rgb="FFFFFF00"/>
                </patternFill>
              </fill>
            </x14:dxf>
          </x14:cfRule>
          <xm:sqref>T992</xm:sqref>
        </x14:conditionalFormatting>
        <x14:conditionalFormatting xmlns:xm="http://schemas.microsoft.com/office/excel/2006/main">
          <x14:cfRule type="containsText" priority="161" operator="containsText" id="{778BA288-0EAA-4396-AC98-A7C654A2FE43}">
            <xm:f>NOT(ISERROR(SEARCH($Q$12,T1012)))</xm:f>
            <xm:f>$Q$12</xm:f>
            <x14:dxf>
              <fill>
                <patternFill>
                  <bgColor rgb="FFFFC000"/>
                </patternFill>
              </fill>
            </x14:dxf>
          </x14:cfRule>
          <x14:cfRule type="containsText" priority="162" operator="containsText" id="{C6C681DE-D90A-44B7-B968-57DE2C6646A9}">
            <xm:f>NOT(ISERROR(SEARCH($Q$12,T1012)))</xm:f>
            <xm:f>$Q$12</xm:f>
            <x14:dxf>
              <fill>
                <patternFill>
                  <bgColor rgb="FFFF0000"/>
                </patternFill>
              </fill>
            </x14:dxf>
          </x14:cfRule>
          <x14:cfRule type="containsText" priority="154" operator="containsText" id="{295FAF95-E377-47FB-9A2D-86D7A3A331D9}">
            <xm:f>NOT(ISERROR(SEARCH($Q$12,T1012)))</xm:f>
            <xm:f>$Q$12</xm:f>
            <x14:dxf/>
          </x14:cfRule>
          <x14:cfRule type="containsText" priority="160" operator="containsText" id="{2762F142-47EF-4323-B85C-4410BE141AFF}">
            <xm:f>NOT(ISERROR(SEARCH($Q$12,T1012)))</xm:f>
            <xm:f>$Q$12</xm:f>
            <x14:dxf>
              <fill>
                <patternFill>
                  <bgColor rgb="FFFFFF00"/>
                </patternFill>
              </fill>
            </x14:dxf>
          </x14:cfRule>
          <x14:cfRule type="containsText" priority="159" operator="containsText" id="{6A6920E1-7590-4F44-8E22-BBE8E3E4FFDC}">
            <xm:f>NOT(ISERROR(SEARCH($Q$12,T1012)))</xm:f>
            <xm:f>$Q$12</xm:f>
            <x14:dxf>
              <fill>
                <patternFill>
                  <bgColor theme="9"/>
                </patternFill>
              </fill>
            </x14:dxf>
          </x14:cfRule>
          <x14:cfRule type="containsText" priority="158" operator="containsText" id="{48C16135-7FCE-4E0E-AE86-7C2D72DFB4BC}">
            <xm:f>NOT(ISERROR(SEARCH($Q$12,T1012)))</xm:f>
            <xm:f>$Q$12</xm:f>
            <x14:dxf>
              <fill>
                <patternFill>
                  <bgColor theme="9" tint="0.59996337778862885"/>
                </patternFill>
              </fill>
            </x14:dxf>
          </x14:cfRule>
          <x14:cfRule type="containsText" priority="157" operator="containsText" id="{B2680B48-D449-421F-8483-F330CA421B2B}">
            <xm:f>NOT(ISERROR(SEARCH($Q$12,T1012)))</xm:f>
            <xm:f>$Q$12</xm:f>
            <x14:dxf>
              <fill>
                <patternFill>
                  <bgColor rgb="FFFF0000"/>
                </patternFill>
              </fill>
            </x14:dxf>
          </x14:cfRule>
          <x14:cfRule type="containsText" priority="156" operator="containsText" id="{9B726132-3192-4D6D-91E2-187773C2B55C}">
            <xm:f>NOT(ISERROR(SEARCH($Q$12,T1012)))</xm:f>
            <xm:f>$Q$12</xm:f>
            <x14:dxf>
              <fill>
                <patternFill>
                  <bgColor rgb="FFFFC000"/>
                </patternFill>
              </fill>
            </x14:dxf>
          </x14:cfRule>
          <x14:cfRule type="containsText" priority="155" operator="containsText" id="{B6990598-22CE-4676-AE56-E6550F53A05E}">
            <xm:f>NOT(ISERROR(SEARCH($Q$12,T1012)))</xm:f>
            <xm:f>$Q$12</xm:f>
            <x14:dxf>
              <fill>
                <patternFill>
                  <bgColor rgb="FFFFFF00"/>
                </patternFill>
              </fill>
            </x14:dxf>
          </x14:cfRule>
          <x14:cfRule type="containsText" priority="153" operator="containsText" id="{F26B9CC0-0E8F-4C43-9DFE-E1E4E9281114}">
            <xm:f>NOT(ISERROR(SEARCH($Q$12,T1012)))</xm:f>
            <xm:f>$Q$12</xm:f>
            <x14:dxf>
              <fill>
                <patternFill>
                  <bgColor rgb="FF00B050"/>
                </patternFill>
              </fill>
            </x14:dxf>
          </x14:cfRule>
          <x14:cfRule type="containsText" priority="152" operator="containsText" id="{7D399269-38C2-4C8F-849B-5FE576EB56DF}">
            <xm:f>NOT(ISERROR(SEARCH($Q$12,T1012)))</xm:f>
            <xm:f>$Q$12</xm:f>
            <x14:dxf>
              <fill>
                <patternFill>
                  <bgColor theme="9" tint="0.39994506668294322"/>
                </patternFill>
              </fill>
            </x14:dxf>
          </x14:cfRule>
          <x14:cfRule type="containsText" priority="151" operator="containsText" id="{C21C3578-FA52-42BB-B92D-9DEC8D458412}">
            <xm:f>NOT(ISERROR(SEARCH($Q$12,T1012)))</xm:f>
            <xm:f>$Q$12</xm:f>
            <x14:dxf>
              <fill>
                <patternFill>
                  <bgColor theme="9" tint="0.79998168889431442"/>
                </patternFill>
              </fill>
            </x14:dxf>
          </x14:cfRule>
          <x14:cfRule type="containsText" priority="150" operator="containsText" id="{85E78F76-64C9-4943-A95B-413EED79DBD9}">
            <xm:f>NOT(ISERROR(SEARCH($Q$12,T1012)))</xm:f>
            <xm:f>$Q$12</xm:f>
            <x14:dxf>
              <fill>
                <patternFill>
                  <bgColor rgb="FFFFFF00"/>
                </patternFill>
              </fill>
            </x14:dxf>
          </x14:cfRule>
          <xm:sqref>T1012</xm:sqref>
        </x14:conditionalFormatting>
        <x14:conditionalFormatting xmlns:xm="http://schemas.microsoft.com/office/excel/2006/main">
          <x14:cfRule type="containsText" priority="10121" operator="containsText" id="{E962C024-124B-46EA-95F4-702C75811540}">
            <xm:f>NOT(ISERROR(SEARCH($Q$12,AL12)))</xm:f>
            <xm:f>$Q$12</xm:f>
            <x14:dxf>
              <fill>
                <patternFill>
                  <bgColor theme="9" tint="0.79998168889431442"/>
                </patternFill>
              </fill>
            </x14:dxf>
          </x14:cfRule>
          <x14:cfRule type="containsText" priority="10122" operator="containsText" id="{452B3161-4D22-421B-AD4A-4A87AEE19226}">
            <xm:f>NOT(ISERROR(SEARCH($Q$12,AL12)))</xm:f>
            <xm:f>$Q$12</xm:f>
            <x14:dxf>
              <fill>
                <patternFill>
                  <bgColor theme="9" tint="0.39994506668294322"/>
                </patternFill>
              </fill>
            </x14:dxf>
          </x14:cfRule>
          <x14:cfRule type="containsText" priority="10123" operator="containsText" id="{D1517E91-3B08-49A3-AD77-FADB05963F8D}">
            <xm:f>NOT(ISERROR(SEARCH($Q$12,AL12)))</xm:f>
            <xm:f>$Q$12</xm:f>
            <x14:dxf>
              <fill>
                <patternFill>
                  <bgColor rgb="FF00B050"/>
                </patternFill>
              </fill>
            </x14:dxf>
          </x14:cfRule>
          <x14:cfRule type="containsText" priority="10124" operator="containsText" id="{F5502252-8CFF-4893-A2CB-B40287B2517F}">
            <xm:f>NOT(ISERROR(SEARCH($Q$12,AL12)))</xm:f>
            <xm:f>$Q$12</xm:f>
            <x14:dxf>
              <fill>
                <patternFill>
                  <bgColor rgb="FFFFFF00"/>
                </patternFill>
              </fill>
            </x14:dxf>
          </x14:cfRule>
          <x14:cfRule type="containsText" priority="10125" operator="containsText" id="{B52D0632-9C42-42C6-AD7A-E122BC42FACB}">
            <xm:f>NOT(ISERROR(SEARCH($Q$12,AL12)))</xm:f>
            <xm:f>$Q$12</xm:f>
            <x14:dxf>
              <fill>
                <patternFill>
                  <bgColor rgb="FFFFC000"/>
                </patternFill>
              </fill>
            </x14:dxf>
          </x14:cfRule>
          <x14:cfRule type="containsText" priority="10126" operator="containsText" id="{4B2D9548-1D0A-439A-8AF8-6F8A3B52DFBE}">
            <xm:f>NOT(ISERROR(SEARCH($Q$12,AL12)))</xm:f>
            <xm:f>$Q$12</xm:f>
            <x14:dxf>
              <fill>
                <patternFill>
                  <bgColor rgb="FFFF0000"/>
                </patternFill>
              </fill>
            </x14:dxf>
          </x14:cfRule>
          <x14:cfRule type="containsText" priority="10127" operator="containsText" id="{37D480E7-30FE-45BD-B231-70573B77E9BB}">
            <xm:f>NOT(ISERROR(SEARCH($Q$12,AL12)))</xm:f>
            <xm:f>$Q$12</xm:f>
            <x14:dxf>
              <fill>
                <patternFill>
                  <bgColor theme="9" tint="0.59996337778862885"/>
                </patternFill>
              </fill>
            </x14:dxf>
          </x14:cfRule>
          <x14:cfRule type="containsText" priority="10128" operator="containsText" id="{CBDE7E3D-9D38-4DC1-95F2-8B09E8386D33}">
            <xm:f>NOT(ISERROR(SEARCH($Q$12,AL12)))</xm:f>
            <xm:f>$Q$12</xm:f>
            <x14:dxf>
              <fill>
                <patternFill>
                  <bgColor theme="9"/>
                </patternFill>
              </fill>
            </x14:dxf>
          </x14:cfRule>
          <x14:cfRule type="containsText" priority="10129" operator="containsText" id="{06D59A44-8D4B-448D-A70D-7EEFE64FEC57}">
            <xm:f>NOT(ISERROR(SEARCH($Q$12,AL12)))</xm:f>
            <xm:f>$Q$12</xm:f>
            <x14:dxf>
              <fill>
                <patternFill>
                  <bgColor rgb="FFFFFF00"/>
                </patternFill>
              </fill>
            </x14:dxf>
          </x14:cfRule>
          <x14:cfRule type="containsText" priority="10130" operator="containsText" id="{7E306614-E050-408D-A2B8-DFFFF25250CA}">
            <xm:f>NOT(ISERROR(SEARCH($Q$12,AL12)))</xm:f>
            <xm:f>$Q$12</xm:f>
            <x14:dxf>
              <fill>
                <patternFill>
                  <bgColor rgb="FFFFC000"/>
                </patternFill>
              </fill>
            </x14:dxf>
          </x14:cfRule>
          <x14:cfRule type="containsText" priority="10131" operator="containsText" id="{E7FA3A6E-252C-490E-87E6-6EDB094E1402}">
            <xm:f>NOT(ISERROR(SEARCH($Q$12,AL12)))</xm:f>
            <xm:f>$Q$12</xm:f>
            <x14:dxf>
              <fill>
                <patternFill>
                  <bgColor rgb="FFFF0000"/>
                </patternFill>
              </fill>
            </x14:dxf>
          </x14:cfRule>
          <xm:sqref>AL12</xm:sqref>
        </x14:conditionalFormatting>
        <x14:conditionalFormatting xmlns:xm="http://schemas.microsoft.com/office/excel/2006/main">
          <x14:cfRule type="containsText" priority="10042" operator="containsText" id="{54FAB448-B40E-4CF0-99EB-B1A785890FC5}">
            <xm:f>NOT(ISERROR(SEARCH($Q$12,AL22)))</xm:f>
            <xm:f>$Q$12</xm:f>
            <x14:dxf>
              <fill>
                <patternFill>
                  <bgColor rgb="FF00B050"/>
                </patternFill>
              </fill>
            </x14:dxf>
          </x14:cfRule>
          <x14:cfRule type="containsText" priority="10040" operator="containsText" id="{42517025-26E8-4E22-B07B-F053A2FA9723}">
            <xm:f>NOT(ISERROR(SEARCH($Q$12,AL22)))</xm:f>
            <xm:f>$Q$12</xm:f>
            <x14:dxf>
              <fill>
                <patternFill>
                  <bgColor theme="9" tint="0.79998168889431442"/>
                </patternFill>
              </fill>
            </x14:dxf>
          </x14:cfRule>
          <x14:cfRule type="containsText" priority="10045" operator="containsText" id="{493BCA3A-6066-40AD-9B15-E95AA4373BD6}">
            <xm:f>NOT(ISERROR(SEARCH($Q$12,AL22)))</xm:f>
            <xm:f>$Q$12</xm:f>
            <x14:dxf>
              <fill>
                <patternFill>
                  <bgColor rgb="FFFFC000"/>
                </patternFill>
              </fill>
            </x14:dxf>
          </x14:cfRule>
          <x14:cfRule type="containsText" priority="10046" operator="containsText" id="{A4D882C6-6156-4C10-9F10-2F39A28791CF}">
            <xm:f>NOT(ISERROR(SEARCH($Q$12,AL22)))</xm:f>
            <xm:f>$Q$12</xm:f>
            <x14:dxf>
              <fill>
                <patternFill>
                  <bgColor rgb="FFFF0000"/>
                </patternFill>
              </fill>
            </x14:dxf>
          </x14:cfRule>
          <x14:cfRule type="containsText" priority="10050" operator="containsText" id="{4FF65BC2-7177-4CC8-A171-8F4C33977BBF}">
            <xm:f>NOT(ISERROR(SEARCH($Q$12,AL22)))</xm:f>
            <xm:f>$Q$12</xm:f>
            <x14:dxf>
              <fill>
                <patternFill>
                  <bgColor rgb="FFFFC000"/>
                </patternFill>
              </fill>
            </x14:dxf>
          </x14:cfRule>
          <x14:cfRule type="containsText" priority="10041" operator="containsText" id="{511A5753-522A-4F54-9814-21B5426D0D59}">
            <xm:f>NOT(ISERROR(SEARCH($Q$12,AL22)))</xm:f>
            <xm:f>$Q$12</xm:f>
            <x14:dxf>
              <fill>
                <patternFill>
                  <bgColor theme="9" tint="0.39994506668294322"/>
                </patternFill>
              </fill>
            </x14:dxf>
          </x14:cfRule>
          <x14:cfRule type="containsText" priority="10039" operator="containsText" id="{1B05528D-39EE-45E3-BA93-42DE7FC33495}">
            <xm:f>NOT(ISERROR(SEARCH($Q$12,AL22)))</xm:f>
            <xm:f>$Q$12</xm:f>
            <x14:dxf>
              <fill>
                <patternFill>
                  <bgColor rgb="FFFFFF00"/>
                </patternFill>
              </fill>
            </x14:dxf>
          </x14:cfRule>
          <x14:cfRule type="containsText" priority="10048" operator="containsText" id="{EAAB6C53-B71A-4197-9032-44A0B07FDA7C}">
            <xm:f>NOT(ISERROR(SEARCH($Q$12,AL22)))</xm:f>
            <xm:f>$Q$12</xm:f>
            <x14:dxf>
              <fill>
                <patternFill>
                  <bgColor theme="9"/>
                </patternFill>
              </fill>
            </x14:dxf>
          </x14:cfRule>
          <x14:cfRule type="containsText" priority="10044" operator="containsText" id="{CD7493BC-70B6-4031-9254-0AE5DD811EA3}">
            <xm:f>NOT(ISERROR(SEARCH($Q$12,AL22)))</xm:f>
            <xm:f>$Q$12</xm:f>
            <x14:dxf>
              <fill>
                <patternFill>
                  <bgColor rgb="FFFFFF00"/>
                </patternFill>
              </fill>
            </x14:dxf>
          </x14:cfRule>
          <x14:cfRule type="containsText" priority="10051" operator="containsText" id="{6F9411C1-4D8A-44B8-8A3F-B193EE8387F0}">
            <xm:f>NOT(ISERROR(SEARCH($Q$12,AL22)))</xm:f>
            <xm:f>$Q$12</xm:f>
            <x14:dxf>
              <fill>
                <patternFill>
                  <bgColor rgb="FFFF0000"/>
                </patternFill>
              </fill>
            </x14:dxf>
          </x14:cfRule>
          <x14:cfRule type="containsText" priority="10047" operator="containsText" id="{8C478F48-D2EC-4D5B-A791-B5BCDEC82766}">
            <xm:f>NOT(ISERROR(SEARCH($Q$12,AL22)))</xm:f>
            <xm:f>$Q$12</xm:f>
            <x14:dxf>
              <fill>
                <patternFill>
                  <bgColor theme="9" tint="0.59996337778862885"/>
                </patternFill>
              </fill>
            </x14:dxf>
          </x14:cfRule>
          <xm:sqref>AL22</xm:sqref>
        </x14:conditionalFormatting>
        <x14:conditionalFormatting xmlns:xm="http://schemas.microsoft.com/office/excel/2006/main">
          <x14:cfRule type="containsText" priority="9909" operator="containsText" id="{68984075-DBED-4FFD-894D-7754F84E9B84}">
            <xm:f>NOT(ISERROR(SEARCH($Q$12,AL32)))</xm:f>
            <xm:f>$Q$12</xm:f>
            <x14:dxf>
              <fill>
                <patternFill>
                  <bgColor rgb="FFFFFF00"/>
                </patternFill>
              </fill>
            </x14:dxf>
          </x14:cfRule>
          <x14:cfRule type="containsText" priority="9910" operator="containsText" id="{55AE5B75-6DF1-4D24-B6E3-1742F2FAA051}">
            <xm:f>NOT(ISERROR(SEARCH($Q$12,AL32)))</xm:f>
            <xm:f>$Q$12</xm:f>
            <x14:dxf>
              <fill>
                <patternFill>
                  <bgColor rgb="FFFFC000"/>
                </patternFill>
              </fill>
            </x14:dxf>
          </x14:cfRule>
          <x14:cfRule type="containsText" priority="9911" operator="containsText" id="{08F58304-6B22-422E-AAFF-62DF31AB6E60}">
            <xm:f>NOT(ISERROR(SEARCH($Q$12,AL32)))</xm:f>
            <xm:f>$Q$12</xm:f>
            <x14:dxf>
              <fill>
                <patternFill>
                  <bgColor rgb="FFFF0000"/>
                </patternFill>
              </fill>
            </x14:dxf>
          </x14:cfRule>
          <x14:cfRule type="containsText" priority="9902" operator="containsText" id="{FBDF1048-C860-422C-B8D6-A85BB499DBF5}">
            <xm:f>NOT(ISERROR(SEARCH($Q$12,AL32)))</xm:f>
            <xm:f>$Q$12</xm:f>
            <x14:dxf>
              <fill>
                <patternFill>
                  <bgColor theme="9" tint="0.39994506668294322"/>
                </patternFill>
              </fill>
            </x14:dxf>
          </x14:cfRule>
          <x14:cfRule type="containsText" priority="9901" operator="containsText" id="{10AB7413-879E-422B-BF92-1A07C9393F04}">
            <xm:f>NOT(ISERROR(SEARCH($Q$12,AL32)))</xm:f>
            <xm:f>$Q$12</xm:f>
            <x14:dxf>
              <fill>
                <patternFill>
                  <bgColor theme="9" tint="0.79998168889431442"/>
                </patternFill>
              </fill>
            </x14:dxf>
          </x14:cfRule>
          <x14:cfRule type="containsText" priority="9906" operator="containsText" id="{9F0014AD-1CE1-4247-98D7-758C1242DF88}">
            <xm:f>NOT(ISERROR(SEARCH($Q$12,AL32)))</xm:f>
            <xm:f>$Q$12</xm:f>
            <x14:dxf>
              <fill>
                <patternFill>
                  <bgColor rgb="FFFF0000"/>
                </patternFill>
              </fill>
            </x14:dxf>
          </x14:cfRule>
          <x14:cfRule type="containsText" priority="9905" operator="containsText" id="{901D514A-6969-4AAE-B22F-B73003862E97}">
            <xm:f>NOT(ISERROR(SEARCH($Q$12,AL32)))</xm:f>
            <xm:f>$Q$12</xm:f>
            <x14:dxf>
              <fill>
                <patternFill>
                  <bgColor rgb="FFFFC000"/>
                </patternFill>
              </fill>
            </x14:dxf>
          </x14:cfRule>
          <x14:cfRule type="containsText" priority="9904" operator="containsText" id="{E63822B1-7B7C-4EA3-9732-D12EF5BB78AA}">
            <xm:f>NOT(ISERROR(SEARCH($Q$12,AL32)))</xm:f>
            <xm:f>$Q$12</xm:f>
            <x14:dxf>
              <fill>
                <patternFill>
                  <bgColor rgb="FFFFFF00"/>
                </patternFill>
              </fill>
            </x14:dxf>
          </x14:cfRule>
          <x14:cfRule type="containsText" priority="9903" operator="containsText" id="{23C3E1A2-B9A9-4B79-BBD5-8A2E6A30B591}">
            <xm:f>NOT(ISERROR(SEARCH($Q$12,AL32)))</xm:f>
            <xm:f>$Q$12</xm:f>
            <x14:dxf>
              <fill>
                <patternFill>
                  <bgColor rgb="FF00B050"/>
                </patternFill>
              </fill>
            </x14:dxf>
          </x14:cfRule>
          <x14:cfRule type="containsText" priority="9907" operator="containsText" id="{BBFBEB46-ABE2-477E-A27B-4C7F5D316197}">
            <xm:f>NOT(ISERROR(SEARCH($Q$12,AL32)))</xm:f>
            <xm:f>$Q$12</xm:f>
            <x14:dxf>
              <fill>
                <patternFill>
                  <bgColor theme="9" tint="0.59996337778862885"/>
                </patternFill>
              </fill>
            </x14:dxf>
          </x14:cfRule>
          <x14:cfRule type="containsText" priority="9908" operator="containsText" id="{4BF67356-C138-4389-B9BC-076D488B478A}">
            <xm:f>NOT(ISERROR(SEARCH($Q$12,AL32)))</xm:f>
            <xm:f>$Q$12</xm:f>
            <x14:dxf>
              <fill>
                <patternFill>
                  <bgColor theme="9"/>
                </patternFill>
              </fill>
            </x14:dxf>
          </x14:cfRule>
          <xm:sqref>AL32</xm:sqref>
        </x14:conditionalFormatting>
        <x14:conditionalFormatting xmlns:xm="http://schemas.microsoft.com/office/excel/2006/main">
          <x14:cfRule type="containsText" priority="9699" operator="containsText" id="{D4233744-41ED-4D76-B34E-F1092F019460}">
            <xm:f>NOT(ISERROR(SEARCH($Q$12,AL42)))</xm:f>
            <xm:f>$Q$12</xm:f>
            <x14:dxf>
              <fill>
                <patternFill>
                  <bgColor theme="9" tint="0.59996337778862885"/>
                </patternFill>
              </fill>
            </x14:dxf>
          </x14:cfRule>
          <x14:cfRule type="containsText" priority="9700" operator="containsText" id="{1EEAA246-1554-4DE2-9B78-E13DF0317D62}">
            <xm:f>NOT(ISERROR(SEARCH($Q$12,AL42)))</xm:f>
            <xm:f>$Q$12</xm:f>
            <x14:dxf>
              <fill>
                <patternFill>
                  <bgColor theme="9"/>
                </patternFill>
              </fill>
            </x14:dxf>
          </x14:cfRule>
          <x14:cfRule type="containsText" priority="9693" operator="containsText" id="{D0BB937C-7766-4D2B-BCAC-0DE4E5A1FE74}">
            <xm:f>NOT(ISERROR(SEARCH($Q$12,AL42)))</xm:f>
            <xm:f>$Q$12</xm:f>
            <x14:dxf>
              <fill>
                <patternFill>
                  <bgColor theme="9" tint="0.39994506668294322"/>
                </patternFill>
              </fill>
            </x14:dxf>
          </x14:cfRule>
          <x14:cfRule type="containsText" priority="9696" operator="containsText" id="{4CBB0AF8-3A20-4BF2-BFEC-DFFED8EA7A36}">
            <xm:f>NOT(ISERROR(SEARCH($Q$12,AL42)))</xm:f>
            <xm:f>$Q$12</xm:f>
            <x14:dxf>
              <fill>
                <patternFill>
                  <bgColor rgb="FFFFFF00"/>
                </patternFill>
              </fill>
            </x14:dxf>
          </x14:cfRule>
          <x14:cfRule type="containsText" priority="9697" operator="containsText" id="{32C6837B-0E01-43D1-AD83-3B10DFA24183}">
            <xm:f>NOT(ISERROR(SEARCH($Q$12,AL42)))</xm:f>
            <xm:f>$Q$12</xm:f>
            <x14:dxf>
              <fill>
                <patternFill>
                  <bgColor rgb="FFFFC000"/>
                </patternFill>
              </fill>
            </x14:dxf>
          </x14:cfRule>
          <x14:cfRule type="containsText" priority="9698" operator="containsText" id="{F21F5AD6-0491-4E21-BDBB-E26A978E2DCD}">
            <xm:f>NOT(ISERROR(SEARCH($Q$12,AL42)))</xm:f>
            <xm:f>$Q$12</xm:f>
            <x14:dxf>
              <fill>
                <patternFill>
                  <bgColor rgb="FFFF0000"/>
                </patternFill>
              </fill>
            </x14:dxf>
          </x14:cfRule>
          <x14:cfRule type="containsText" priority="9694" operator="containsText" id="{C7161E7E-63AF-4F6C-B3C2-5EF4572BC593}">
            <xm:f>NOT(ISERROR(SEARCH($Q$12,AL42)))</xm:f>
            <xm:f>$Q$12</xm:f>
            <x14:dxf>
              <fill>
                <patternFill>
                  <bgColor rgb="FF00B050"/>
                </patternFill>
              </fill>
            </x14:dxf>
          </x14:cfRule>
          <x14:cfRule type="containsText" priority="9702" operator="containsText" id="{B88BBC44-83F4-4D98-A25D-8772AC965A8E}">
            <xm:f>NOT(ISERROR(SEARCH($Q$12,AL42)))</xm:f>
            <xm:f>$Q$12</xm:f>
            <x14:dxf>
              <fill>
                <patternFill>
                  <bgColor rgb="FFFFC000"/>
                </patternFill>
              </fill>
            </x14:dxf>
          </x14:cfRule>
          <x14:cfRule type="containsText" priority="9703" operator="containsText" id="{1F13E051-6454-4A90-A4DB-347DFAD87933}">
            <xm:f>NOT(ISERROR(SEARCH($Q$12,AL42)))</xm:f>
            <xm:f>$Q$12</xm:f>
            <x14:dxf>
              <fill>
                <patternFill>
                  <bgColor rgb="FFFF0000"/>
                </patternFill>
              </fill>
            </x14:dxf>
          </x14:cfRule>
          <x14:cfRule type="containsText" priority="9692" operator="containsText" id="{F72A279E-92E9-44C5-B242-6EECBBDBA877}">
            <xm:f>NOT(ISERROR(SEARCH($Q$12,AL42)))</xm:f>
            <xm:f>$Q$12</xm:f>
            <x14:dxf>
              <fill>
                <patternFill>
                  <bgColor theme="9" tint="0.79998168889431442"/>
                </patternFill>
              </fill>
            </x14:dxf>
          </x14:cfRule>
          <x14:cfRule type="containsText" priority="9691" operator="containsText" id="{9B5AAA1F-D132-4C4B-834E-FAD54544C43F}">
            <xm:f>NOT(ISERROR(SEARCH($Q$12,AL42)))</xm:f>
            <xm:f>$Q$12</xm:f>
            <x14:dxf>
              <fill>
                <patternFill>
                  <bgColor rgb="FFFFFF00"/>
                </patternFill>
              </fill>
            </x14:dxf>
          </x14:cfRule>
          <xm:sqref>AL42</xm:sqref>
        </x14:conditionalFormatting>
        <x14:conditionalFormatting xmlns:xm="http://schemas.microsoft.com/office/excel/2006/main">
          <x14:cfRule type="containsText" priority="9667" operator="containsText" id="{3D7D29C9-132C-4BEF-812B-A889C40B409A}">
            <xm:f>NOT(ISERROR(SEARCH($Q$12,AL52)))</xm:f>
            <xm:f>$Q$12</xm:f>
            <x14:dxf>
              <fill>
                <patternFill>
                  <bgColor theme="9" tint="0.39994506668294322"/>
                </patternFill>
              </fill>
            </x14:dxf>
          </x14:cfRule>
          <x14:cfRule type="containsText" priority="9666" operator="containsText" id="{12846B72-EDA8-4415-8B3B-D21B1270D480}">
            <xm:f>NOT(ISERROR(SEARCH($Q$12,AL52)))</xm:f>
            <xm:f>$Q$12</xm:f>
            <x14:dxf>
              <fill>
                <patternFill>
                  <bgColor theme="9" tint="0.79998168889431442"/>
                </patternFill>
              </fill>
            </x14:dxf>
          </x14:cfRule>
          <x14:cfRule type="containsText" priority="9665" operator="containsText" id="{67492007-1E37-4660-85C7-18CCF85C057C}">
            <xm:f>NOT(ISERROR(SEARCH($Q$12,AL52)))</xm:f>
            <xm:f>$Q$12</xm:f>
            <x14:dxf>
              <fill>
                <patternFill>
                  <bgColor rgb="FFFFFF00"/>
                </patternFill>
              </fill>
            </x14:dxf>
          </x14:cfRule>
          <x14:cfRule type="containsText" priority="9673" operator="containsText" id="{0100FD25-ADD3-46AC-8E72-21FBB828ACA4}">
            <xm:f>NOT(ISERROR(SEARCH($Q$12,AL52)))</xm:f>
            <xm:f>$Q$12</xm:f>
            <x14:dxf>
              <fill>
                <patternFill>
                  <bgColor theme="9" tint="0.59996337778862885"/>
                </patternFill>
              </fill>
            </x14:dxf>
          </x14:cfRule>
          <x14:cfRule type="containsText" priority="9670" operator="containsText" id="{12541520-CB60-4422-BBEF-F6EEA40E700C}">
            <xm:f>NOT(ISERROR(SEARCH($Q$12,AL52)))</xm:f>
            <xm:f>$Q$12</xm:f>
            <x14:dxf>
              <fill>
                <patternFill>
                  <bgColor rgb="FFFFFF00"/>
                </patternFill>
              </fill>
            </x14:dxf>
          </x14:cfRule>
          <x14:cfRule type="containsText" priority="9672" operator="containsText" id="{331294AA-CD97-46CE-9972-3243B11DA50D}">
            <xm:f>NOT(ISERROR(SEARCH($Q$12,AL52)))</xm:f>
            <xm:f>$Q$12</xm:f>
            <x14:dxf>
              <fill>
                <patternFill>
                  <bgColor rgb="FFFF0000"/>
                </patternFill>
              </fill>
            </x14:dxf>
          </x14:cfRule>
          <x14:cfRule type="containsText" priority="9668" operator="containsText" id="{C86754C8-5E34-4B02-9EDB-BBCF30A47203}">
            <xm:f>NOT(ISERROR(SEARCH($Q$12,AL52)))</xm:f>
            <xm:f>$Q$12</xm:f>
            <x14:dxf>
              <fill>
                <patternFill>
                  <bgColor rgb="FF00B050"/>
                </patternFill>
              </fill>
            </x14:dxf>
          </x14:cfRule>
          <x14:cfRule type="containsText" priority="9677" operator="containsText" id="{62E68F44-ED9F-4928-A37A-02B8D06105EB}">
            <xm:f>NOT(ISERROR(SEARCH($Q$12,AL52)))</xm:f>
            <xm:f>$Q$12</xm:f>
            <x14:dxf>
              <fill>
                <patternFill>
                  <bgColor rgb="FFFF0000"/>
                </patternFill>
              </fill>
            </x14:dxf>
          </x14:cfRule>
          <x14:cfRule type="containsText" priority="9676" operator="containsText" id="{247FBEC1-A16C-4CD8-8C21-1DABD1C5F887}">
            <xm:f>NOT(ISERROR(SEARCH($Q$12,AL52)))</xm:f>
            <xm:f>$Q$12</xm:f>
            <x14:dxf>
              <fill>
                <patternFill>
                  <bgColor rgb="FFFFC000"/>
                </patternFill>
              </fill>
            </x14:dxf>
          </x14:cfRule>
          <x14:cfRule type="containsText" priority="9674" operator="containsText" id="{B468E859-AA67-4755-8161-53F7F6081408}">
            <xm:f>NOT(ISERROR(SEARCH($Q$12,AL52)))</xm:f>
            <xm:f>$Q$12</xm:f>
            <x14:dxf>
              <fill>
                <patternFill>
                  <bgColor theme="9"/>
                </patternFill>
              </fill>
            </x14:dxf>
          </x14:cfRule>
          <x14:cfRule type="containsText" priority="9671" operator="containsText" id="{C06912CE-9965-4E73-BC95-6E116B2F0666}">
            <xm:f>NOT(ISERROR(SEARCH($Q$12,AL52)))</xm:f>
            <xm:f>$Q$12</xm:f>
            <x14:dxf>
              <fill>
                <patternFill>
                  <bgColor rgb="FFFFC000"/>
                </patternFill>
              </fill>
            </x14:dxf>
          </x14:cfRule>
          <xm:sqref>AL52</xm:sqref>
        </x14:conditionalFormatting>
        <x14:conditionalFormatting xmlns:xm="http://schemas.microsoft.com/office/excel/2006/main">
          <x14:cfRule type="containsText" priority="9646" operator="containsText" id="{05DAB396-C033-41D6-9DF0-BCDDFFBBE5D3}">
            <xm:f>NOT(ISERROR(SEARCH($Q$12,AL62)))</xm:f>
            <xm:f>$Q$12</xm:f>
            <x14:dxf>
              <fill>
                <patternFill>
                  <bgColor rgb="FFFF0000"/>
                </patternFill>
              </fill>
            </x14:dxf>
          </x14:cfRule>
          <x14:cfRule type="containsText" priority="9645" operator="containsText" id="{19BB7585-35B6-4FC6-BF4C-2ACA16CFFB72}">
            <xm:f>NOT(ISERROR(SEARCH($Q$12,AL62)))</xm:f>
            <xm:f>$Q$12</xm:f>
            <x14:dxf>
              <fill>
                <patternFill>
                  <bgColor rgb="FFFFC000"/>
                </patternFill>
              </fill>
            </x14:dxf>
          </x14:cfRule>
          <x14:cfRule type="containsText" priority="9642" operator="containsText" id="{959A30A1-FA33-4706-BF19-AA497BB21249}">
            <xm:f>NOT(ISERROR(SEARCH($Q$12,AL62)))</xm:f>
            <xm:f>$Q$12</xm:f>
            <x14:dxf>
              <fill>
                <patternFill>
                  <bgColor rgb="FF00B050"/>
                </patternFill>
              </fill>
            </x14:dxf>
          </x14:cfRule>
          <x14:cfRule type="containsText" priority="9644" operator="containsText" id="{FFF8CF18-BB4A-4EFF-AA74-0F4427A2FEB7}">
            <xm:f>NOT(ISERROR(SEARCH($Q$12,AL62)))</xm:f>
            <xm:f>$Q$12</xm:f>
            <x14:dxf>
              <fill>
                <patternFill>
                  <bgColor rgb="FFFFFF00"/>
                </patternFill>
              </fill>
            </x14:dxf>
          </x14:cfRule>
          <x14:cfRule type="containsText" priority="9641" operator="containsText" id="{8BE20DCA-1840-4A8F-81CB-58F0D6E111A5}">
            <xm:f>NOT(ISERROR(SEARCH($Q$12,AL62)))</xm:f>
            <xm:f>$Q$12</xm:f>
            <x14:dxf>
              <fill>
                <patternFill>
                  <bgColor theme="9" tint="0.39994506668294322"/>
                </patternFill>
              </fill>
            </x14:dxf>
          </x14:cfRule>
          <x14:cfRule type="containsText" priority="9640" operator="containsText" id="{71E7CC21-336A-4827-AB37-28D5196ED17C}">
            <xm:f>NOT(ISERROR(SEARCH($Q$12,AL62)))</xm:f>
            <xm:f>$Q$12</xm:f>
            <x14:dxf>
              <fill>
                <patternFill>
                  <bgColor theme="9" tint="0.79998168889431442"/>
                </patternFill>
              </fill>
            </x14:dxf>
          </x14:cfRule>
          <x14:cfRule type="containsText" priority="9639" operator="containsText" id="{C1ED6637-D5F0-4CB0-919E-EAB6107015BA}">
            <xm:f>NOT(ISERROR(SEARCH($Q$12,AL62)))</xm:f>
            <xm:f>$Q$12</xm:f>
            <x14:dxf>
              <fill>
                <patternFill>
                  <bgColor rgb="FFFFFF00"/>
                </patternFill>
              </fill>
            </x14:dxf>
          </x14:cfRule>
          <x14:cfRule type="containsText" priority="9651" operator="containsText" id="{44843A25-4F15-431C-A21F-F5615E824C06}">
            <xm:f>NOT(ISERROR(SEARCH($Q$12,AL62)))</xm:f>
            <xm:f>$Q$12</xm:f>
            <x14:dxf>
              <fill>
                <patternFill>
                  <bgColor rgb="FFFF0000"/>
                </patternFill>
              </fill>
            </x14:dxf>
          </x14:cfRule>
          <x14:cfRule type="containsText" priority="9650" operator="containsText" id="{74898ED7-8DEF-407C-8AA9-B029085871E5}">
            <xm:f>NOT(ISERROR(SEARCH($Q$12,AL62)))</xm:f>
            <xm:f>$Q$12</xm:f>
            <x14:dxf>
              <fill>
                <patternFill>
                  <bgColor rgb="FFFFC000"/>
                </patternFill>
              </fill>
            </x14:dxf>
          </x14:cfRule>
          <x14:cfRule type="containsText" priority="9647" operator="containsText" id="{82EF082F-9D79-4F96-AF67-4897C1BF9840}">
            <xm:f>NOT(ISERROR(SEARCH($Q$12,AL62)))</xm:f>
            <xm:f>$Q$12</xm:f>
            <x14:dxf>
              <fill>
                <patternFill>
                  <bgColor theme="9" tint="0.59996337778862885"/>
                </patternFill>
              </fill>
            </x14:dxf>
          </x14:cfRule>
          <x14:cfRule type="containsText" priority="9648" operator="containsText" id="{4E4AD2F3-5197-4658-820A-12F524195A0D}">
            <xm:f>NOT(ISERROR(SEARCH($Q$12,AL62)))</xm:f>
            <xm:f>$Q$12</xm:f>
            <x14:dxf>
              <fill>
                <patternFill>
                  <bgColor theme="9"/>
                </patternFill>
              </fill>
            </x14:dxf>
          </x14:cfRule>
          <xm:sqref>AL62</xm:sqref>
        </x14:conditionalFormatting>
        <x14:conditionalFormatting xmlns:xm="http://schemas.microsoft.com/office/excel/2006/main">
          <x14:cfRule type="containsText" priority="9512" operator="containsText" id="{BB135E14-2352-462D-977B-AA1843882B8A}">
            <xm:f>NOT(ISERROR(SEARCH($Q$12,AL72)))</xm:f>
            <xm:f>$Q$12</xm:f>
            <x14:dxf>
              <fill>
                <patternFill>
                  <bgColor rgb="FFFFC000"/>
                </patternFill>
              </fill>
            </x14:dxf>
          </x14:cfRule>
          <x14:cfRule type="containsText" priority="9511" operator="containsText" id="{063D93AE-9EB0-4A20-A75C-DCB77DB24B57}">
            <xm:f>NOT(ISERROR(SEARCH($Q$12,AL72)))</xm:f>
            <xm:f>$Q$12</xm:f>
            <x14:dxf>
              <fill>
                <patternFill>
                  <bgColor rgb="FFFFFF00"/>
                </patternFill>
              </fill>
            </x14:dxf>
          </x14:cfRule>
          <x14:cfRule type="containsText" priority="9503" operator="containsText" id="{B3FDB62A-AAD9-4145-8AE5-19038BD40FC1}">
            <xm:f>NOT(ISERROR(SEARCH($Q$12,AL72)))</xm:f>
            <xm:f>$Q$12</xm:f>
            <x14:dxf>
              <fill>
                <patternFill>
                  <bgColor theme="9" tint="0.79998168889431442"/>
                </patternFill>
              </fill>
            </x14:dxf>
          </x14:cfRule>
          <x14:cfRule type="containsText" priority="9510" operator="containsText" id="{B58F8952-3306-4031-8811-2B90676AEFB9}">
            <xm:f>NOT(ISERROR(SEARCH($Q$12,AL72)))</xm:f>
            <xm:f>$Q$12</xm:f>
            <x14:dxf>
              <fill>
                <patternFill>
                  <bgColor theme="9"/>
                </patternFill>
              </fill>
            </x14:dxf>
          </x14:cfRule>
          <x14:cfRule type="containsText" priority="9509" operator="containsText" id="{7E67BD0F-8B0C-4586-AF45-293FC6CECD0E}">
            <xm:f>NOT(ISERROR(SEARCH($Q$12,AL72)))</xm:f>
            <xm:f>$Q$12</xm:f>
            <x14:dxf>
              <fill>
                <patternFill>
                  <bgColor theme="9" tint="0.59996337778862885"/>
                </patternFill>
              </fill>
            </x14:dxf>
          </x14:cfRule>
          <x14:cfRule type="containsText" priority="9508" operator="containsText" id="{ABFA3A2D-06A4-45DE-965F-2866FC9F0275}">
            <xm:f>NOT(ISERROR(SEARCH($Q$12,AL72)))</xm:f>
            <xm:f>$Q$12</xm:f>
            <x14:dxf>
              <fill>
                <patternFill>
                  <bgColor rgb="FFFF0000"/>
                </patternFill>
              </fill>
            </x14:dxf>
          </x14:cfRule>
          <x14:cfRule type="containsText" priority="9513" operator="containsText" id="{068F7907-6789-4F66-B0C6-99CC502EA688}">
            <xm:f>NOT(ISERROR(SEARCH($Q$12,AL72)))</xm:f>
            <xm:f>$Q$12</xm:f>
            <x14:dxf>
              <fill>
                <patternFill>
                  <bgColor rgb="FFFF0000"/>
                </patternFill>
              </fill>
            </x14:dxf>
          </x14:cfRule>
          <x14:cfRule type="containsText" priority="9507" operator="containsText" id="{C9F55624-A112-416F-8A9C-A4D8A75E32EE}">
            <xm:f>NOT(ISERROR(SEARCH($Q$12,AL72)))</xm:f>
            <xm:f>$Q$12</xm:f>
            <x14:dxf>
              <fill>
                <patternFill>
                  <bgColor rgb="FFFFC000"/>
                </patternFill>
              </fill>
            </x14:dxf>
          </x14:cfRule>
          <x14:cfRule type="containsText" priority="9506" operator="containsText" id="{B97B9A19-20B0-465F-87F2-3A96619EEA76}">
            <xm:f>NOT(ISERROR(SEARCH($Q$12,AL72)))</xm:f>
            <xm:f>$Q$12</xm:f>
            <x14:dxf>
              <fill>
                <patternFill>
                  <bgColor rgb="FFFFFF00"/>
                </patternFill>
              </fill>
            </x14:dxf>
          </x14:cfRule>
          <x14:cfRule type="containsText" priority="9505" operator="containsText" id="{4BD4491D-AECC-4986-BA4C-FFBFE8CE7DE3}">
            <xm:f>NOT(ISERROR(SEARCH($Q$12,AL72)))</xm:f>
            <xm:f>$Q$12</xm:f>
            <x14:dxf>
              <fill>
                <patternFill>
                  <bgColor rgb="FF00B050"/>
                </patternFill>
              </fill>
            </x14:dxf>
          </x14:cfRule>
          <x14:cfRule type="containsText" priority="9504" operator="containsText" id="{533BA838-245E-4202-B591-1AF8A48570AC}">
            <xm:f>NOT(ISERROR(SEARCH($Q$12,AL72)))</xm:f>
            <xm:f>$Q$12</xm:f>
            <x14:dxf>
              <fill>
                <patternFill>
                  <bgColor theme="9" tint="0.39994506668294322"/>
                </patternFill>
              </fill>
            </x14:dxf>
          </x14:cfRule>
          <xm:sqref>AL72</xm:sqref>
        </x14:conditionalFormatting>
        <x14:conditionalFormatting xmlns:xm="http://schemas.microsoft.com/office/excel/2006/main">
          <x14:cfRule type="containsText" priority="9230" operator="containsText" id="{897B3F7E-70D2-4999-85C4-0E95AB750F40}">
            <xm:f>NOT(ISERROR(SEARCH($Q$12,AL82)))</xm:f>
            <xm:f>$Q$12</xm:f>
            <x14:dxf>
              <fill>
                <patternFill>
                  <bgColor theme="9" tint="0.79998168889431442"/>
                </patternFill>
              </fill>
            </x14:dxf>
          </x14:cfRule>
          <x14:cfRule type="containsText" priority="9231" operator="containsText" id="{1B5D64DC-B014-420F-A43F-818DCBB50EF1}">
            <xm:f>NOT(ISERROR(SEARCH($Q$12,AL82)))</xm:f>
            <xm:f>$Q$12</xm:f>
            <x14:dxf>
              <fill>
                <patternFill>
                  <bgColor theme="9" tint="0.39994506668294322"/>
                </patternFill>
              </fill>
            </x14:dxf>
          </x14:cfRule>
          <x14:cfRule type="containsText" priority="9232" operator="containsText" id="{15E644AC-3B01-4123-A3A5-7D2509853363}">
            <xm:f>NOT(ISERROR(SEARCH($Q$12,AL82)))</xm:f>
            <xm:f>$Q$12</xm:f>
            <x14:dxf>
              <fill>
                <patternFill>
                  <bgColor rgb="FF00B050"/>
                </patternFill>
              </fill>
            </x14:dxf>
          </x14:cfRule>
          <x14:cfRule type="containsText" priority="9234" operator="containsText" id="{5A309BB0-99D7-4321-B352-F75D27778C19}">
            <xm:f>NOT(ISERROR(SEARCH($Q$12,AL82)))</xm:f>
            <xm:f>$Q$12</xm:f>
            <x14:dxf>
              <fill>
                <patternFill>
                  <bgColor rgb="FFFFFF00"/>
                </patternFill>
              </fill>
            </x14:dxf>
          </x14:cfRule>
          <x14:cfRule type="containsText" priority="9235" operator="containsText" id="{A73D418A-1DCF-49DA-99E3-F74914B862CF}">
            <xm:f>NOT(ISERROR(SEARCH($Q$12,AL82)))</xm:f>
            <xm:f>$Q$12</xm:f>
            <x14:dxf>
              <fill>
                <patternFill>
                  <bgColor rgb="FFFFC000"/>
                </patternFill>
              </fill>
            </x14:dxf>
          </x14:cfRule>
          <x14:cfRule type="containsText" priority="9236" operator="containsText" id="{C8621416-95ED-49D8-875D-73D3C76AEB89}">
            <xm:f>NOT(ISERROR(SEARCH($Q$12,AL82)))</xm:f>
            <xm:f>$Q$12</xm:f>
            <x14:dxf>
              <fill>
                <patternFill>
                  <bgColor rgb="FFFF0000"/>
                </patternFill>
              </fill>
            </x14:dxf>
          </x14:cfRule>
          <x14:cfRule type="containsText" priority="9237" operator="containsText" id="{386DAF47-0F03-49EE-97A2-B85A5A392A9A}">
            <xm:f>NOT(ISERROR(SEARCH($Q$12,AL82)))</xm:f>
            <xm:f>$Q$12</xm:f>
            <x14:dxf>
              <fill>
                <patternFill>
                  <bgColor theme="9" tint="0.59996337778862885"/>
                </patternFill>
              </fill>
            </x14:dxf>
          </x14:cfRule>
          <x14:cfRule type="containsText" priority="9238" operator="containsText" id="{45AF70CC-D7D7-4789-A6CD-DE24415BD9AE}">
            <xm:f>NOT(ISERROR(SEARCH($Q$12,AL82)))</xm:f>
            <xm:f>$Q$12</xm:f>
            <x14:dxf>
              <fill>
                <patternFill>
                  <bgColor theme="9"/>
                </patternFill>
              </fill>
            </x14:dxf>
          </x14:cfRule>
          <x14:cfRule type="containsText" priority="9241" operator="containsText" id="{05D134BE-C3F2-4E09-A40B-3E5369E09B2B}">
            <xm:f>NOT(ISERROR(SEARCH($Q$12,AL82)))</xm:f>
            <xm:f>$Q$12</xm:f>
            <x14:dxf>
              <fill>
                <patternFill>
                  <bgColor rgb="FFFF0000"/>
                </patternFill>
              </fill>
            </x14:dxf>
          </x14:cfRule>
          <x14:cfRule type="containsText" priority="9240" operator="containsText" id="{EDD48074-A703-4BFD-ACCF-4EAB5AF56FFA}">
            <xm:f>NOT(ISERROR(SEARCH($Q$12,AL82)))</xm:f>
            <xm:f>$Q$12</xm:f>
            <x14:dxf>
              <fill>
                <patternFill>
                  <bgColor rgb="FFFFC000"/>
                </patternFill>
              </fill>
            </x14:dxf>
          </x14:cfRule>
          <x14:cfRule type="containsText" priority="9229" operator="containsText" id="{C171E157-EC02-4674-9313-7CF396A914BA}">
            <xm:f>NOT(ISERROR(SEARCH($Q$12,AL82)))</xm:f>
            <xm:f>$Q$12</xm:f>
            <x14:dxf>
              <fill>
                <patternFill>
                  <bgColor rgb="FFFFFF00"/>
                </patternFill>
              </fill>
            </x14:dxf>
          </x14:cfRule>
          <xm:sqref>AL82</xm:sqref>
        </x14:conditionalFormatting>
        <x14:conditionalFormatting xmlns:xm="http://schemas.microsoft.com/office/excel/2006/main">
          <x14:cfRule type="containsText" priority="9203" operator="containsText" id="{793EB419-D0D1-4EA0-8610-C37B5F6826F6}">
            <xm:f>NOT(ISERROR(SEARCH($Q$12,AL92)))</xm:f>
            <xm:f>$Q$12</xm:f>
            <x14:dxf>
              <fill>
                <patternFill>
                  <bgColor rgb="FFFFFF00"/>
                </patternFill>
              </fill>
            </x14:dxf>
          </x14:cfRule>
          <x14:cfRule type="containsText" priority="9204" operator="containsText" id="{0A6CF5D5-FFC9-46AB-B3CB-18659632B29B}">
            <xm:f>NOT(ISERROR(SEARCH($Q$12,AL92)))</xm:f>
            <xm:f>$Q$12</xm:f>
            <x14:dxf>
              <fill>
                <patternFill>
                  <bgColor theme="9" tint="0.79998168889431442"/>
                </patternFill>
              </fill>
            </x14:dxf>
          </x14:cfRule>
          <x14:cfRule type="containsText" priority="9205" operator="containsText" id="{CF106BE1-49E6-453F-BB52-B9DED23E869B}">
            <xm:f>NOT(ISERROR(SEARCH($Q$12,AL92)))</xm:f>
            <xm:f>$Q$12</xm:f>
            <x14:dxf>
              <fill>
                <patternFill>
                  <bgColor theme="9" tint="0.39994506668294322"/>
                </patternFill>
              </fill>
            </x14:dxf>
          </x14:cfRule>
          <x14:cfRule type="containsText" priority="9206" operator="containsText" id="{B927061D-24D2-4719-9332-C42ACDC751EC}">
            <xm:f>NOT(ISERROR(SEARCH($Q$12,AL92)))</xm:f>
            <xm:f>$Q$12</xm:f>
            <x14:dxf>
              <fill>
                <patternFill>
                  <bgColor rgb="FF00B050"/>
                </patternFill>
              </fill>
            </x14:dxf>
          </x14:cfRule>
          <x14:cfRule type="containsText" priority="9208" operator="containsText" id="{EA909328-D809-4C6B-81C6-6791E86FB51C}">
            <xm:f>NOT(ISERROR(SEARCH($Q$12,AL92)))</xm:f>
            <xm:f>$Q$12</xm:f>
            <x14:dxf>
              <fill>
                <patternFill>
                  <bgColor rgb="FFFFFF00"/>
                </patternFill>
              </fill>
            </x14:dxf>
          </x14:cfRule>
          <x14:cfRule type="containsText" priority="9209" operator="containsText" id="{96B1CF84-7C39-4394-87C1-7061A7A0AED2}">
            <xm:f>NOT(ISERROR(SEARCH($Q$12,AL92)))</xm:f>
            <xm:f>$Q$12</xm:f>
            <x14:dxf>
              <fill>
                <patternFill>
                  <bgColor rgb="FFFFC000"/>
                </patternFill>
              </fill>
            </x14:dxf>
          </x14:cfRule>
          <x14:cfRule type="containsText" priority="9210" operator="containsText" id="{DAF2ABBD-F997-49D9-83A6-C2C45D04F1C0}">
            <xm:f>NOT(ISERROR(SEARCH($Q$12,AL92)))</xm:f>
            <xm:f>$Q$12</xm:f>
            <x14:dxf>
              <fill>
                <patternFill>
                  <bgColor rgb="FFFF0000"/>
                </patternFill>
              </fill>
            </x14:dxf>
          </x14:cfRule>
          <x14:cfRule type="containsText" priority="9211" operator="containsText" id="{7C3A39D8-2076-4601-8143-17852C0810A6}">
            <xm:f>NOT(ISERROR(SEARCH($Q$12,AL92)))</xm:f>
            <xm:f>$Q$12</xm:f>
            <x14:dxf>
              <fill>
                <patternFill>
                  <bgColor theme="9" tint="0.59996337778862885"/>
                </patternFill>
              </fill>
            </x14:dxf>
          </x14:cfRule>
          <x14:cfRule type="containsText" priority="9212" operator="containsText" id="{6295CF6B-14C2-4A16-B003-355719B93351}">
            <xm:f>NOT(ISERROR(SEARCH($Q$12,AL92)))</xm:f>
            <xm:f>$Q$12</xm:f>
            <x14:dxf>
              <fill>
                <patternFill>
                  <bgColor theme="9"/>
                </patternFill>
              </fill>
            </x14:dxf>
          </x14:cfRule>
          <x14:cfRule type="containsText" priority="9214" operator="containsText" id="{1D7166CE-49A7-4359-9E81-D45508031996}">
            <xm:f>NOT(ISERROR(SEARCH($Q$12,AL92)))</xm:f>
            <xm:f>$Q$12</xm:f>
            <x14:dxf>
              <fill>
                <patternFill>
                  <bgColor rgb="FFFFC000"/>
                </patternFill>
              </fill>
            </x14:dxf>
          </x14:cfRule>
          <x14:cfRule type="containsText" priority="9215" operator="containsText" id="{461F6478-53D7-4080-AFF6-A8B8365F2CCF}">
            <xm:f>NOT(ISERROR(SEARCH($Q$12,AL92)))</xm:f>
            <xm:f>$Q$12</xm:f>
            <x14:dxf>
              <fill>
                <patternFill>
                  <bgColor rgb="FFFF0000"/>
                </patternFill>
              </fill>
            </x14:dxf>
          </x14:cfRule>
          <xm:sqref>AL92</xm:sqref>
        </x14:conditionalFormatting>
        <x14:conditionalFormatting xmlns:xm="http://schemas.microsoft.com/office/excel/2006/main">
          <x14:cfRule type="containsText" priority="9183" operator="containsText" id="{37B3B5B4-A6A1-49CE-B8AC-8C0BE28581B9}">
            <xm:f>NOT(ISERROR(SEARCH($Q$12,AL102)))</xm:f>
            <xm:f>$Q$12</xm:f>
            <x14:dxf>
              <fill>
                <patternFill>
                  <bgColor rgb="FFFFC000"/>
                </patternFill>
              </fill>
            </x14:dxf>
          </x14:cfRule>
          <x14:cfRule type="containsText" priority="9182" operator="containsText" id="{FE1904B8-3932-46E0-8366-6EB75E80454A}">
            <xm:f>NOT(ISERROR(SEARCH($Q$12,AL102)))</xm:f>
            <xm:f>$Q$12</xm:f>
            <x14:dxf>
              <fill>
                <patternFill>
                  <bgColor rgb="FFFFFF00"/>
                </patternFill>
              </fill>
            </x14:dxf>
          </x14:cfRule>
          <x14:cfRule type="containsText" priority="9184" operator="containsText" id="{E3E0A5F9-1B4E-468F-B520-ED6BCE676A3B}">
            <xm:f>NOT(ISERROR(SEARCH($Q$12,AL102)))</xm:f>
            <xm:f>$Q$12</xm:f>
            <x14:dxf>
              <fill>
                <patternFill>
                  <bgColor rgb="FFFF0000"/>
                </patternFill>
              </fill>
            </x14:dxf>
          </x14:cfRule>
          <x14:cfRule type="containsText" priority="9185" operator="containsText" id="{09349BB1-C023-4CC3-AC17-39D85D125B4D}">
            <xm:f>NOT(ISERROR(SEARCH($Q$12,AL102)))</xm:f>
            <xm:f>$Q$12</xm:f>
            <x14:dxf>
              <fill>
                <patternFill>
                  <bgColor theme="9" tint="0.59996337778862885"/>
                </patternFill>
              </fill>
            </x14:dxf>
          </x14:cfRule>
          <x14:cfRule type="containsText" priority="9186" operator="containsText" id="{917377E4-E106-4591-8656-223065BC01EF}">
            <xm:f>NOT(ISERROR(SEARCH($Q$12,AL102)))</xm:f>
            <xm:f>$Q$12</xm:f>
            <x14:dxf>
              <fill>
                <patternFill>
                  <bgColor theme="9"/>
                </patternFill>
              </fill>
            </x14:dxf>
          </x14:cfRule>
          <x14:cfRule type="containsText" priority="9189" operator="containsText" id="{14DF5C23-7C35-4362-8621-FDDD8BC845F1}">
            <xm:f>NOT(ISERROR(SEARCH($Q$12,AL102)))</xm:f>
            <xm:f>$Q$12</xm:f>
            <x14:dxf>
              <fill>
                <patternFill>
                  <bgColor rgb="FFFF0000"/>
                </patternFill>
              </fill>
            </x14:dxf>
          </x14:cfRule>
          <x14:cfRule type="containsText" priority="9188" operator="containsText" id="{61AB5348-EF9E-49F0-B00B-2A47F99702D5}">
            <xm:f>NOT(ISERROR(SEARCH($Q$12,AL102)))</xm:f>
            <xm:f>$Q$12</xm:f>
            <x14:dxf>
              <fill>
                <patternFill>
                  <bgColor rgb="FFFFC000"/>
                </patternFill>
              </fill>
            </x14:dxf>
          </x14:cfRule>
          <x14:cfRule type="containsText" priority="9177" operator="containsText" id="{E1AB519B-7E00-45F6-98FF-AF5A63895BBB}">
            <xm:f>NOT(ISERROR(SEARCH($Q$12,AL102)))</xm:f>
            <xm:f>$Q$12</xm:f>
            <x14:dxf>
              <fill>
                <patternFill>
                  <bgColor rgb="FFFFFF00"/>
                </patternFill>
              </fill>
            </x14:dxf>
          </x14:cfRule>
          <x14:cfRule type="containsText" priority="9178" operator="containsText" id="{A949D0B2-128F-414D-B5F8-9A199FED8279}">
            <xm:f>NOT(ISERROR(SEARCH($Q$12,AL102)))</xm:f>
            <xm:f>$Q$12</xm:f>
            <x14:dxf>
              <fill>
                <patternFill>
                  <bgColor theme="9" tint="0.79998168889431442"/>
                </patternFill>
              </fill>
            </x14:dxf>
          </x14:cfRule>
          <x14:cfRule type="containsText" priority="9179" operator="containsText" id="{C8E92DE6-384A-4FC5-BFA3-1063B9A51577}">
            <xm:f>NOT(ISERROR(SEARCH($Q$12,AL102)))</xm:f>
            <xm:f>$Q$12</xm:f>
            <x14:dxf>
              <fill>
                <patternFill>
                  <bgColor theme="9" tint="0.39994506668294322"/>
                </patternFill>
              </fill>
            </x14:dxf>
          </x14:cfRule>
          <x14:cfRule type="containsText" priority="9180" operator="containsText" id="{FB0932EC-AE17-4CF8-BA5F-149DE4B3364D}">
            <xm:f>NOT(ISERROR(SEARCH($Q$12,AL102)))</xm:f>
            <xm:f>$Q$12</xm:f>
            <x14:dxf>
              <fill>
                <patternFill>
                  <bgColor rgb="FF00B050"/>
                </patternFill>
              </fill>
            </x14:dxf>
          </x14:cfRule>
          <xm:sqref>AL102</xm:sqref>
        </x14:conditionalFormatting>
        <x14:conditionalFormatting xmlns:xm="http://schemas.microsoft.com/office/excel/2006/main">
          <x14:cfRule type="containsText" priority="9153" operator="containsText" id="{8C23E9C2-7347-46CD-8F07-7B2FEC1743F4}">
            <xm:f>NOT(ISERROR(SEARCH($Q$12,AL112)))</xm:f>
            <xm:f>$Q$12</xm:f>
            <x14:dxf>
              <fill>
                <patternFill>
                  <bgColor theme="9" tint="0.39994506668294322"/>
                </patternFill>
              </fill>
            </x14:dxf>
          </x14:cfRule>
          <x14:cfRule type="containsText" priority="9151" operator="containsText" id="{605EE6EE-1149-4AE3-B157-90EC4B70F157}">
            <xm:f>NOT(ISERROR(SEARCH($Q$12,AL112)))</xm:f>
            <xm:f>$Q$12</xm:f>
            <x14:dxf>
              <fill>
                <patternFill>
                  <bgColor rgb="FFFFFF00"/>
                </patternFill>
              </fill>
            </x14:dxf>
          </x14:cfRule>
          <x14:cfRule type="containsText" priority="9152" operator="containsText" id="{A16D6394-348C-4899-98C5-678C2AF357B7}">
            <xm:f>NOT(ISERROR(SEARCH($Q$12,AL112)))</xm:f>
            <xm:f>$Q$12</xm:f>
            <x14:dxf>
              <fill>
                <patternFill>
                  <bgColor theme="9" tint="0.79998168889431442"/>
                </patternFill>
              </fill>
            </x14:dxf>
          </x14:cfRule>
          <x14:cfRule type="containsText" priority="9159" operator="containsText" id="{CCD4947B-D51A-4493-94C3-B59AA9C1D329}">
            <xm:f>NOT(ISERROR(SEARCH($Q$12,AL112)))</xm:f>
            <xm:f>$Q$12</xm:f>
            <x14:dxf>
              <fill>
                <patternFill>
                  <bgColor theme="9" tint="0.59996337778862885"/>
                </patternFill>
              </fill>
            </x14:dxf>
          </x14:cfRule>
          <x14:cfRule type="containsText" priority="9162" operator="containsText" id="{1A29E64B-BDD2-44F6-A576-CB81F786DD32}">
            <xm:f>NOT(ISERROR(SEARCH($Q$12,AL112)))</xm:f>
            <xm:f>$Q$12</xm:f>
            <x14:dxf>
              <fill>
                <patternFill>
                  <bgColor rgb="FFFFC000"/>
                </patternFill>
              </fill>
            </x14:dxf>
          </x14:cfRule>
          <x14:cfRule type="containsText" priority="9160" operator="containsText" id="{6C0B9D78-6BA6-451F-8833-BD0B434B9442}">
            <xm:f>NOT(ISERROR(SEARCH($Q$12,AL112)))</xm:f>
            <xm:f>$Q$12</xm:f>
            <x14:dxf>
              <fill>
                <patternFill>
                  <bgColor theme="9"/>
                </patternFill>
              </fill>
            </x14:dxf>
          </x14:cfRule>
          <x14:cfRule type="containsText" priority="9163" operator="containsText" id="{92B14CE3-EA8A-443D-BAC9-3C4821B78631}">
            <xm:f>NOT(ISERROR(SEARCH($Q$12,AL112)))</xm:f>
            <xm:f>$Q$12</xm:f>
            <x14:dxf>
              <fill>
                <patternFill>
                  <bgColor rgb="FFFF0000"/>
                </patternFill>
              </fill>
            </x14:dxf>
          </x14:cfRule>
          <x14:cfRule type="containsText" priority="9154" operator="containsText" id="{11C1799E-2B16-4751-80D8-8739B2972EFD}">
            <xm:f>NOT(ISERROR(SEARCH($Q$12,AL112)))</xm:f>
            <xm:f>$Q$12</xm:f>
            <x14:dxf>
              <fill>
                <patternFill>
                  <bgColor rgb="FF00B050"/>
                </patternFill>
              </fill>
            </x14:dxf>
          </x14:cfRule>
          <x14:cfRule type="containsText" priority="9156" operator="containsText" id="{DDFBC6C7-A54B-4489-9B1C-9CECE8418986}">
            <xm:f>NOT(ISERROR(SEARCH($Q$12,AL112)))</xm:f>
            <xm:f>$Q$12</xm:f>
            <x14:dxf>
              <fill>
                <patternFill>
                  <bgColor rgb="FFFFFF00"/>
                </patternFill>
              </fill>
            </x14:dxf>
          </x14:cfRule>
          <x14:cfRule type="containsText" priority="9157" operator="containsText" id="{B8A47FF0-DFAF-4362-B256-E8E1B9F8880E}">
            <xm:f>NOT(ISERROR(SEARCH($Q$12,AL112)))</xm:f>
            <xm:f>$Q$12</xm:f>
            <x14:dxf>
              <fill>
                <patternFill>
                  <bgColor rgb="FFFFC000"/>
                </patternFill>
              </fill>
            </x14:dxf>
          </x14:cfRule>
          <x14:cfRule type="containsText" priority="9158" operator="containsText" id="{AFBE13CC-B6D3-4512-9A40-FDC515BC4ADC}">
            <xm:f>NOT(ISERROR(SEARCH($Q$12,AL112)))</xm:f>
            <xm:f>$Q$12</xm:f>
            <x14:dxf>
              <fill>
                <patternFill>
                  <bgColor rgb="FFFF0000"/>
                </patternFill>
              </fill>
            </x14:dxf>
          </x14:cfRule>
          <xm:sqref>AL112</xm:sqref>
        </x14:conditionalFormatting>
        <x14:conditionalFormatting xmlns:xm="http://schemas.microsoft.com/office/excel/2006/main">
          <x14:cfRule type="containsText" priority="9011" operator="containsText" id="{25ECB350-AF9E-4ED4-9BDD-9F4A5AC81C9E}">
            <xm:f>NOT(ISERROR(SEARCH($Q$12,AL122)))</xm:f>
            <xm:f>$Q$12</xm:f>
            <x14:dxf>
              <fill>
                <patternFill>
                  <bgColor theme="9" tint="0.79998168889431442"/>
                </patternFill>
              </fill>
            </x14:dxf>
          </x14:cfRule>
          <x14:cfRule type="containsText" priority="9012" operator="containsText" id="{56495D8B-45A4-449E-8C7A-233A2CA4282F}">
            <xm:f>NOT(ISERROR(SEARCH($Q$12,AL122)))</xm:f>
            <xm:f>$Q$12</xm:f>
            <x14:dxf>
              <fill>
                <patternFill>
                  <bgColor theme="9" tint="0.39994506668294322"/>
                </patternFill>
              </fill>
            </x14:dxf>
          </x14:cfRule>
          <x14:cfRule type="containsText" priority="9013" operator="containsText" id="{3E973A34-3113-4CCC-959B-5D1841BA6902}">
            <xm:f>NOT(ISERROR(SEARCH($Q$12,AL122)))</xm:f>
            <xm:f>$Q$12</xm:f>
            <x14:dxf>
              <fill>
                <patternFill>
                  <bgColor rgb="FF00B050"/>
                </patternFill>
              </fill>
            </x14:dxf>
          </x14:cfRule>
          <x14:cfRule type="containsText" priority="9014" operator="containsText" id="{C1CA8F01-5BF1-454F-B673-0DFC0A22A87C}">
            <xm:f>NOT(ISERROR(SEARCH($Q$12,AL122)))</xm:f>
            <xm:f>$Q$12</xm:f>
            <x14:dxf>
              <fill>
                <patternFill>
                  <bgColor rgb="FFFFFF00"/>
                </patternFill>
              </fill>
            </x14:dxf>
          </x14:cfRule>
          <x14:cfRule type="containsText" priority="9015" operator="containsText" id="{B7BBC041-1E93-42A2-8D1B-A3B0907A7302}">
            <xm:f>NOT(ISERROR(SEARCH($Q$12,AL122)))</xm:f>
            <xm:f>$Q$12</xm:f>
            <x14:dxf>
              <fill>
                <patternFill>
                  <bgColor rgb="FFFFC000"/>
                </patternFill>
              </fill>
            </x14:dxf>
          </x14:cfRule>
          <x14:cfRule type="containsText" priority="9016" operator="containsText" id="{D1670989-F25A-44BF-A97B-A1F9E30C0496}">
            <xm:f>NOT(ISERROR(SEARCH($Q$12,AL122)))</xm:f>
            <xm:f>$Q$12</xm:f>
            <x14:dxf>
              <fill>
                <patternFill>
                  <bgColor rgb="FFFF0000"/>
                </patternFill>
              </fill>
            </x14:dxf>
          </x14:cfRule>
          <x14:cfRule type="containsText" priority="9017" operator="containsText" id="{CD6FABF6-5154-4759-AD36-6020F0016176}">
            <xm:f>NOT(ISERROR(SEARCH($Q$12,AL122)))</xm:f>
            <xm:f>$Q$12</xm:f>
            <x14:dxf>
              <fill>
                <patternFill>
                  <bgColor theme="9" tint="0.59996337778862885"/>
                </patternFill>
              </fill>
            </x14:dxf>
          </x14:cfRule>
          <x14:cfRule type="containsText" priority="9018" operator="containsText" id="{218F9B9D-261F-4F26-BDEC-6D3E1EBE995A}">
            <xm:f>NOT(ISERROR(SEARCH($Q$12,AL122)))</xm:f>
            <xm:f>$Q$12</xm:f>
            <x14:dxf>
              <fill>
                <patternFill>
                  <bgColor theme="9"/>
                </patternFill>
              </fill>
            </x14:dxf>
          </x14:cfRule>
          <x14:cfRule type="containsText" priority="9019" operator="containsText" id="{29561130-7D34-4FB8-88C1-A252239502EA}">
            <xm:f>NOT(ISERROR(SEARCH($Q$12,AL122)))</xm:f>
            <xm:f>$Q$12</xm:f>
            <x14:dxf>
              <fill>
                <patternFill>
                  <bgColor rgb="FFFFFF00"/>
                </patternFill>
              </fill>
            </x14:dxf>
          </x14:cfRule>
          <x14:cfRule type="containsText" priority="9020" operator="containsText" id="{1738A29E-AB2D-4861-8810-22D8A35247FC}">
            <xm:f>NOT(ISERROR(SEARCH($Q$12,AL122)))</xm:f>
            <xm:f>$Q$12</xm:f>
            <x14:dxf>
              <fill>
                <patternFill>
                  <bgColor rgb="FFFFC000"/>
                </patternFill>
              </fill>
            </x14:dxf>
          </x14:cfRule>
          <x14:cfRule type="containsText" priority="9021" operator="containsText" id="{797B290A-A753-411B-8896-94D57AEA0EE6}">
            <xm:f>NOT(ISERROR(SEARCH($Q$12,AL122)))</xm:f>
            <xm:f>$Q$12</xm:f>
            <x14:dxf>
              <fill>
                <patternFill>
                  <bgColor rgb="FFFF0000"/>
                </patternFill>
              </fill>
            </x14:dxf>
          </x14:cfRule>
          <xm:sqref>AL122</xm:sqref>
        </x14:conditionalFormatting>
        <x14:conditionalFormatting xmlns:xm="http://schemas.microsoft.com/office/excel/2006/main">
          <x14:cfRule type="containsText" priority="8865" operator="containsText" id="{A2F6785E-DEE3-46AF-8B34-36921364E0EA}">
            <xm:f>NOT(ISERROR(SEARCH($Q$12,AL132)))</xm:f>
            <xm:f>$Q$12</xm:f>
            <x14:dxf>
              <fill>
                <patternFill>
                  <bgColor rgb="FFFFFF00"/>
                </patternFill>
              </fill>
            </x14:dxf>
          </x14:cfRule>
          <x14:cfRule type="containsText" priority="8877" operator="containsText" id="{7CC12BD1-04AF-41A7-BF47-7C7B9B6B23AF}">
            <xm:f>NOT(ISERROR(SEARCH($Q$12,AL132)))</xm:f>
            <xm:f>$Q$12</xm:f>
            <x14:dxf>
              <fill>
                <patternFill>
                  <bgColor rgb="FFFF0000"/>
                </patternFill>
              </fill>
            </x14:dxf>
          </x14:cfRule>
          <x14:cfRule type="containsText" priority="8874" operator="containsText" id="{2D7797B4-B4B7-4EAB-B459-31E2EFD18B14}">
            <xm:f>NOT(ISERROR(SEARCH($Q$12,AL132)))</xm:f>
            <xm:f>$Q$12</xm:f>
            <x14:dxf>
              <fill>
                <patternFill>
                  <bgColor theme="9"/>
                </patternFill>
              </fill>
            </x14:dxf>
          </x14:cfRule>
          <x14:cfRule type="containsText" priority="8873" operator="containsText" id="{BD03CBB3-1511-4B6A-BE9C-C4A5B076092A}">
            <xm:f>NOT(ISERROR(SEARCH($Q$12,AL132)))</xm:f>
            <xm:f>$Q$12</xm:f>
            <x14:dxf>
              <fill>
                <patternFill>
                  <bgColor theme="9" tint="0.59996337778862885"/>
                </patternFill>
              </fill>
            </x14:dxf>
          </x14:cfRule>
          <x14:cfRule type="containsText" priority="8872" operator="containsText" id="{C09B3D34-52E6-49FE-A43A-924DF38810D8}">
            <xm:f>NOT(ISERROR(SEARCH($Q$12,AL132)))</xm:f>
            <xm:f>$Q$12</xm:f>
            <x14:dxf>
              <fill>
                <patternFill>
                  <bgColor rgb="FFFF0000"/>
                </patternFill>
              </fill>
            </x14:dxf>
          </x14:cfRule>
          <x14:cfRule type="containsText" priority="8871" operator="containsText" id="{7D59C4F0-254E-41AA-89E7-45165AF700FA}">
            <xm:f>NOT(ISERROR(SEARCH($Q$12,AL132)))</xm:f>
            <xm:f>$Q$12</xm:f>
            <x14:dxf>
              <fill>
                <patternFill>
                  <bgColor rgb="FFFFC000"/>
                </patternFill>
              </fill>
            </x14:dxf>
          </x14:cfRule>
          <x14:cfRule type="containsText" priority="8870" operator="containsText" id="{19287D3F-F8B9-4104-84BD-00D386790493}">
            <xm:f>NOT(ISERROR(SEARCH($Q$12,AL132)))</xm:f>
            <xm:f>$Q$12</xm:f>
            <x14:dxf>
              <fill>
                <patternFill>
                  <bgColor rgb="FFFFFF00"/>
                </patternFill>
              </fill>
            </x14:dxf>
          </x14:cfRule>
          <x14:cfRule type="containsText" priority="8868" operator="containsText" id="{CD3FA1EC-F86D-471E-A354-6F6DC5A01967}">
            <xm:f>NOT(ISERROR(SEARCH($Q$12,AL132)))</xm:f>
            <xm:f>$Q$12</xm:f>
            <x14:dxf>
              <fill>
                <patternFill>
                  <bgColor rgb="FF00B050"/>
                </patternFill>
              </fill>
            </x14:dxf>
          </x14:cfRule>
          <x14:cfRule type="containsText" priority="8867" operator="containsText" id="{58D99943-F1C2-4BB3-9C33-B08C5741AF98}">
            <xm:f>NOT(ISERROR(SEARCH($Q$12,AL132)))</xm:f>
            <xm:f>$Q$12</xm:f>
            <x14:dxf>
              <fill>
                <patternFill>
                  <bgColor theme="9" tint="0.39994506668294322"/>
                </patternFill>
              </fill>
            </x14:dxf>
          </x14:cfRule>
          <x14:cfRule type="containsText" priority="8866" operator="containsText" id="{88C7D031-1686-4E34-922D-9C0187032105}">
            <xm:f>NOT(ISERROR(SEARCH($Q$12,AL132)))</xm:f>
            <xm:f>$Q$12</xm:f>
            <x14:dxf>
              <fill>
                <patternFill>
                  <bgColor theme="9" tint="0.79998168889431442"/>
                </patternFill>
              </fill>
            </x14:dxf>
          </x14:cfRule>
          <x14:cfRule type="containsText" priority="8876" operator="containsText" id="{C2EAE3F3-73CF-4369-B4D7-C8FE601D2A64}">
            <xm:f>NOT(ISERROR(SEARCH($Q$12,AL132)))</xm:f>
            <xm:f>$Q$12</xm:f>
            <x14:dxf>
              <fill>
                <patternFill>
                  <bgColor rgb="FFFFC000"/>
                </patternFill>
              </fill>
            </x14:dxf>
          </x14:cfRule>
          <xm:sqref>AL132</xm:sqref>
        </x14:conditionalFormatting>
        <x14:conditionalFormatting xmlns:xm="http://schemas.microsoft.com/office/excel/2006/main">
          <x14:cfRule type="containsText" priority="8847" operator="containsText" id="{C47903EF-3210-4EE2-8229-4E39ACDF806F}">
            <xm:f>NOT(ISERROR(SEARCH($Q$12,AL142)))</xm:f>
            <xm:f>$Q$12</xm:f>
            <x14:dxf>
              <fill>
                <patternFill>
                  <bgColor theme="9" tint="0.59996337778862885"/>
                </patternFill>
              </fill>
            </x14:dxf>
          </x14:cfRule>
          <x14:cfRule type="containsText" priority="8846" operator="containsText" id="{8C4E6343-D316-406F-9892-B46FC3D435C0}">
            <xm:f>NOT(ISERROR(SEARCH($Q$12,AL142)))</xm:f>
            <xm:f>$Q$12</xm:f>
            <x14:dxf>
              <fill>
                <patternFill>
                  <bgColor rgb="FFFF0000"/>
                </patternFill>
              </fill>
            </x14:dxf>
          </x14:cfRule>
          <x14:cfRule type="containsText" priority="8844" operator="containsText" id="{ADC1AD10-5A23-456A-9208-2AE7375ADEE3}">
            <xm:f>NOT(ISERROR(SEARCH($Q$12,AL142)))</xm:f>
            <xm:f>$Q$12</xm:f>
            <x14:dxf>
              <fill>
                <patternFill>
                  <bgColor rgb="FFFFFF00"/>
                </patternFill>
              </fill>
            </x14:dxf>
          </x14:cfRule>
          <x14:cfRule type="containsText" priority="8842" operator="containsText" id="{2342630B-DE2A-415B-A263-AE0EB26FE6DE}">
            <xm:f>NOT(ISERROR(SEARCH($Q$12,AL142)))</xm:f>
            <xm:f>$Q$12</xm:f>
            <x14:dxf>
              <fill>
                <patternFill>
                  <bgColor rgb="FF00B050"/>
                </patternFill>
              </fill>
            </x14:dxf>
          </x14:cfRule>
          <x14:cfRule type="containsText" priority="8841" operator="containsText" id="{15053F2D-00BB-4692-B01E-9F59BFE1E23F}">
            <xm:f>NOT(ISERROR(SEARCH($Q$12,AL142)))</xm:f>
            <xm:f>$Q$12</xm:f>
            <x14:dxf>
              <fill>
                <patternFill>
                  <bgColor theme="9" tint="0.39994506668294322"/>
                </patternFill>
              </fill>
            </x14:dxf>
          </x14:cfRule>
          <x14:cfRule type="containsText" priority="8839" operator="containsText" id="{11477AFA-17A7-4946-B487-2BC818338E9F}">
            <xm:f>NOT(ISERROR(SEARCH($Q$12,AL142)))</xm:f>
            <xm:f>$Q$12</xm:f>
            <x14:dxf>
              <fill>
                <patternFill>
                  <bgColor rgb="FFFFFF00"/>
                </patternFill>
              </fill>
            </x14:dxf>
          </x14:cfRule>
          <x14:cfRule type="containsText" priority="8840" operator="containsText" id="{766D91FD-C25C-454E-89EB-F3CB2F9E4899}">
            <xm:f>NOT(ISERROR(SEARCH($Q$12,AL142)))</xm:f>
            <xm:f>$Q$12</xm:f>
            <x14:dxf>
              <fill>
                <patternFill>
                  <bgColor theme="9" tint="0.79998168889431442"/>
                </patternFill>
              </fill>
            </x14:dxf>
          </x14:cfRule>
          <x14:cfRule type="containsText" priority="8845" operator="containsText" id="{454DB635-7D57-4C6C-85CB-C70E9068E5CE}">
            <xm:f>NOT(ISERROR(SEARCH($Q$12,AL142)))</xm:f>
            <xm:f>$Q$12</xm:f>
            <x14:dxf>
              <fill>
                <patternFill>
                  <bgColor rgb="FFFFC000"/>
                </patternFill>
              </fill>
            </x14:dxf>
          </x14:cfRule>
          <x14:cfRule type="containsText" priority="8851" operator="containsText" id="{77472260-E7BB-445F-B738-2801BA77C95F}">
            <xm:f>NOT(ISERROR(SEARCH($Q$12,AL142)))</xm:f>
            <xm:f>$Q$12</xm:f>
            <x14:dxf>
              <fill>
                <patternFill>
                  <bgColor rgb="FFFF0000"/>
                </patternFill>
              </fill>
            </x14:dxf>
          </x14:cfRule>
          <x14:cfRule type="containsText" priority="8850" operator="containsText" id="{9D4B8727-14BF-4832-9D6F-0FB433CF5CF4}">
            <xm:f>NOT(ISERROR(SEARCH($Q$12,AL142)))</xm:f>
            <xm:f>$Q$12</xm:f>
            <x14:dxf>
              <fill>
                <patternFill>
                  <bgColor rgb="FFFFC000"/>
                </patternFill>
              </fill>
            </x14:dxf>
          </x14:cfRule>
          <x14:cfRule type="containsText" priority="8848" operator="containsText" id="{B248A6CC-F8B5-44F4-A3A3-F3F7D1AB5DBA}">
            <xm:f>NOT(ISERROR(SEARCH($Q$12,AL142)))</xm:f>
            <xm:f>$Q$12</xm:f>
            <x14:dxf>
              <fill>
                <patternFill>
                  <bgColor theme="9"/>
                </patternFill>
              </fill>
            </x14:dxf>
          </x14:cfRule>
          <xm:sqref>AL142</xm:sqref>
        </x14:conditionalFormatting>
        <x14:conditionalFormatting xmlns:xm="http://schemas.microsoft.com/office/excel/2006/main">
          <x14:cfRule type="containsText" priority="8712" operator="containsText" id="{C4DE12FD-5C31-4B41-A928-1289979E9349}">
            <xm:f>NOT(ISERROR(SEARCH($Q$12,AL152)))</xm:f>
            <xm:f>$Q$12</xm:f>
            <x14:dxf>
              <fill>
                <patternFill>
                  <bgColor rgb="FFFFC000"/>
                </patternFill>
              </fill>
            </x14:dxf>
          </x14:cfRule>
          <x14:cfRule type="containsText" priority="8703" operator="containsText" id="{3EE0974E-3F75-475D-9025-963DF57C9D85}">
            <xm:f>NOT(ISERROR(SEARCH($Q$12,AL152)))</xm:f>
            <xm:f>$Q$12</xm:f>
            <x14:dxf>
              <fill>
                <patternFill>
                  <bgColor theme="9" tint="0.79998168889431442"/>
                </patternFill>
              </fill>
            </x14:dxf>
          </x14:cfRule>
          <x14:cfRule type="containsText" priority="8704" operator="containsText" id="{F6222297-24DE-4641-A2E6-46C9B02DC33A}">
            <xm:f>NOT(ISERROR(SEARCH($Q$12,AL152)))</xm:f>
            <xm:f>$Q$12</xm:f>
            <x14:dxf>
              <fill>
                <patternFill>
                  <bgColor theme="9" tint="0.39994506668294322"/>
                </patternFill>
              </fill>
            </x14:dxf>
          </x14:cfRule>
          <x14:cfRule type="containsText" priority="8705" operator="containsText" id="{F559C3A6-03A4-413C-BB18-DF61CCF09C1F}">
            <xm:f>NOT(ISERROR(SEARCH($Q$12,AL152)))</xm:f>
            <xm:f>$Q$12</xm:f>
            <x14:dxf>
              <fill>
                <patternFill>
                  <bgColor rgb="FF00B050"/>
                </patternFill>
              </fill>
            </x14:dxf>
          </x14:cfRule>
          <x14:cfRule type="containsText" priority="8706" operator="containsText" id="{633B02A7-B815-41C6-9449-5CF92C433F7B}">
            <xm:f>NOT(ISERROR(SEARCH($Q$12,AL152)))</xm:f>
            <xm:f>$Q$12</xm:f>
            <x14:dxf>
              <fill>
                <patternFill>
                  <bgColor rgb="FFFFFF00"/>
                </patternFill>
              </fill>
            </x14:dxf>
          </x14:cfRule>
          <x14:cfRule type="containsText" priority="8709" operator="containsText" id="{9124D449-585A-4243-98EC-BDE917112CB5}">
            <xm:f>NOT(ISERROR(SEARCH($Q$12,AL152)))</xm:f>
            <xm:f>$Q$12</xm:f>
            <x14:dxf>
              <fill>
                <patternFill>
                  <bgColor theme="9" tint="0.59996337778862885"/>
                </patternFill>
              </fill>
            </x14:dxf>
          </x14:cfRule>
          <x14:cfRule type="containsText" priority="8713" operator="containsText" id="{86652911-8FC3-469F-9903-466D248C6922}">
            <xm:f>NOT(ISERROR(SEARCH($Q$12,AL152)))</xm:f>
            <xm:f>$Q$12</xm:f>
            <x14:dxf>
              <fill>
                <patternFill>
                  <bgColor rgb="FFFF0000"/>
                </patternFill>
              </fill>
            </x14:dxf>
          </x14:cfRule>
          <x14:cfRule type="containsText" priority="8710" operator="containsText" id="{7FE330D5-E65E-4D6A-A3D7-0450219A33C5}">
            <xm:f>NOT(ISERROR(SEARCH($Q$12,AL152)))</xm:f>
            <xm:f>$Q$12</xm:f>
            <x14:dxf>
              <fill>
                <patternFill>
                  <bgColor theme="9"/>
                </patternFill>
              </fill>
            </x14:dxf>
          </x14:cfRule>
          <x14:cfRule type="containsText" priority="8711" operator="containsText" id="{A33944A8-B118-46B9-A5B6-86501491FE11}">
            <xm:f>NOT(ISERROR(SEARCH($Q$12,AL152)))</xm:f>
            <xm:f>$Q$12</xm:f>
            <x14:dxf>
              <fill>
                <patternFill>
                  <bgColor rgb="FFFFFF00"/>
                </patternFill>
              </fill>
            </x14:dxf>
          </x14:cfRule>
          <x14:cfRule type="containsText" priority="8707" operator="containsText" id="{39024253-DD82-4763-B1AA-457FE5AE604F}">
            <xm:f>NOT(ISERROR(SEARCH($Q$12,AL152)))</xm:f>
            <xm:f>$Q$12</xm:f>
            <x14:dxf>
              <fill>
                <patternFill>
                  <bgColor rgb="FFFFC000"/>
                </patternFill>
              </fill>
            </x14:dxf>
          </x14:cfRule>
          <x14:cfRule type="containsText" priority="8708" operator="containsText" id="{2F200AC2-13E5-489F-91FA-37287ED6822F}">
            <xm:f>NOT(ISERROR(SEARCH($Q$12,AL152)))</xm:f>
            <xm:f>$Q$12</xm:f>
            <x14:dxf>
              <fill>
                <patternFill>
                  <bgColor rgb="FFFF0000"/>
                </patternFill>
              </fill>
            </x14:dxf>
          </x14:cfRule>
          <xm:sqref>AL152</xm:sqref>
        </x14:conditionalFormatting>
        <x14:conditionalFormatting xmlns:xm="http://schemas.microsoft.com/office/excel/2006/main">
          <x14:cfRule type="containsText" priority="8569" operator="containsText" id="{8464367B-D809-4ADC-836D-4BA7356C70F3}">
            <xm:f>NOT(ISERROR(SEARCH($Q$12,AL162)))</xm:f>
            <xm:f>$Q$12</xm:f>
            <x14:dxf>
              <fill>
                <patternFill>
                  <bgColor rgb="FFFF0000"/>
                </patternFill>
              </fill>
            </x14:dxf>
          </x14:cfRule>
          <x14:cfRule type="containsText" priority="8568" operator="containsText" id="{A2B7F4C6-4CF4-4AA9-BFEA-4FFFC805112F}">
            <xm:f>NOT(ISERROR(SEARCH($Q$12,AL162)))</xm:f>
            <xm:f>$Q$12</xm:f>
            <x14:dxf>
              <fill>
                <patternFill>
                  <bgColor rgb="FFFFC000"/>
                </patternFill>
              </fill>
            </x14:dxf>
          </x14:cfRule>
          <x14:cfRule type="containsText" priority="8566" operator="containsText" id="{2A20AF35-6F79-4BA1-88A6-6DD474B663E3}">
            <xm:f>NOT(ISERROR(SEARCH($Q$12,AL162)))</xm:f>
            <xm:f>$Q$12</xm:f>
            <x14:dxf>
              <fill>
                <patternFill>
                  <bgColor theme="9"/>
                </patternFill>
              </fill>
            </x14:dxf>
          </x14:cfRule>
          <x14:cfRule type="containsText" priority="8565" operator="containsText" id="{AEF2AC04-4DB2-4140-9AF6-621B4BDB76B7}">
            <xm:f>NOT(ISERROR(SEARCH($Q$12,AL162)))</xm:f>
            <xm:f>$Q$12</xm:f>
            <x14:dxf>
              <fill>
                <patternFill>
                  <bgColor theme="9" tint="0.59996337778862885"/>
                </patternFill>
              </fill>
            </x14:dxf>
          </x14:cfRule>
          <x14:cfRule type="containsText" priority="8564" operator="containsText" id="{1ED44D7A-9C67-43B8-BE43-5937EEE9A5EC}">
            <xm:f>NOT(ISERROR(SEARCH($Q$12,AL162)))</xm:f>
            <xm:f>$Q$12</xm:f>
            <x14:dxf>
              <fill>
                <patternFill>
                  <bgColor rgb="FFFF0000"/>
                </patternFill>
              </fill>
            </x14:dxf>
          </x14:cfRule>
          <x14:cfRule type="containsText" priority="8560" operator="containsText" id="{7B90F950-ED79-4DC8-B876-24F4548E5943}">
            <xm:f>NOT(ISERROR(SEARCH($Q$12,AL162)))</xm:f>
            <xm:f>$Q$12</xm:f>
            <x14:dxf>
              <fill>
                <patternFill>
                  <bgColor rgb="FF00B050"/>
                </patternFill>
              </fill>
            </x14:dxf>
          </x14:cfRule>
          <x14:cfRule type="containsText" priority="8562" operator="containsText" id="{C43C645D-2F2E-44FF-B8C8-2D606BDC032F}">
            <xm:f>NOT(ISERROR(SEARCH($Q$12,AL162)))</xm:f>
            <xm:f>$Q$12</xm:f>
            <x14:dxf>
              <fill>
                <patternFill>
                  <bgColor rgb="FFFFFF00"/>
                </patternFill>
              </fill>
            </x14:dxf>
          </x14:cfRule>
          <x14:cfRule type="containsText" priority="8563" operator="containsText" id="{7A84B12C-EA14-4D95-B677-F0EF9CDB77DD}">
            <xm:f>NOT(ISERROR(SEARCH($Q$12,AL162)))</xm:f>
            <xm:f>$Q$12</xm:f>
            <x14:dxf>
              <fill>
                <patternFill>
                  <bgColor rgb="FFFFC000"/>
                </patternFill>
              </fill>
            </x14:dxf>
          </x14:cfRule>
          <x14:cfRule type="containsText" priority="8557" operator="containsText" id="{1CA230EA-DF4D-4212-9096-E636E12B29C3}">
            <xm:f>NOT(ISERROR(SEARCH($Q$12,AL162)))</xm:f>
            <xm:f>$Q$12</xm:f>
            <x14:dxf>
              <fill>
                <patternFill>
                  <bgColor rgb="FFFFFF00"/>
                </patternFill>
              </fill>
            </x14:dxf>
          </x14:cfRule>
          <x14:cfRule type="containsText" priority="8558" operator="containsText" id="{4E050195-CC30-4B6E-8D30-1CAB14573986}">
            <xm:f>NOT(ISERROR(SEARCH($Q$12,AL162)))</xm:f>
            <xm:f>$Q$12</xm:f>
            <x14:dxf>
              <fill>
                <patternFill>
                  <bgColor theme="9" tint="0.79998168889431442"/>
                </patternFill>
              </fill>
            </x14:dxf>
          </x14:cfRule>
          <x14:cfRule type="containsText" priority="8559" operator="containsText" id="{05D1AB10-D1BB-443B-994A-EE7C75AA9A9C}">
            <xm:f>NOT(ISERROR(SEARCH($Q$12,AL162)))</xm:f>
            <xm:f>$Q$12</xm:f>
            <x14:dxf>
              <fill>
                <patternFill>
                  <bgColor theme="9" tint="0.39994506668294322"/>
                </patternFill>
              </fill>
            </x14:dxf>
          </x14:cfRule>
          <xm:sqref>AL162</xm:sqref>
        </x14:conditionalFormatting>
        <x14:conditionalFormatting xmlns:xm="http://schemas.microsoft.com/office/excel/2006/main">
          <x14:cfRule type="containsText" priority="8538" operator="containsText" id="{E5905C1B-3149-4F41-A756-CF0F609F80C4}">
            <xm:f>NOT(ISERROR(SEARCH($Q$12,AL172)))</xm:f>
            <xm:f>$Q$12</xm:f>
            <x14:dxf>
              <fill>
                <patternFill>
                  <bgColor rgb="FFFF0000"/>
                </patternFill>
              </fill>
            </x14:dxf>
          </x14:cfRule>
          <x14:cfRule type="containsText" priority="8537" operator="containsText" id="{990F1CEE-282D-4025-B7D0-7C5CA4D81D67}">
            <xm:f>NOT(ISERROR(SEARCH($Q$12,AL172)))</xm:f>
            <xm:f>$Q$12</xm:f>
            <x14:dxf>
              <fill>
                <patternFill>
                  <bgColor rgb="FFFFC000"/>
                </patternFill>
              </fill>
            </x14:dxf>
          </x14:cfRule>
          <x14:cfRule type="containsText" priority="8539" operator="containsText" id="{A0450C68-9A25-40F2-9FCE-89F52CA64CE9}">
            <xm:f>NOT(ISERROR(SEARCH($Q$12,AL172)))</xm:f>
            <xm:f>$Q$12</xm:f>
            <x14:dxf>
              <fill>
                <patternFill>
                  <bgColor theme="9" tint="0.59996337778862885"/>
                </patternFill>
              </fill>
            </x14:dxf>
          </x14:cfRule>
          <x14:cfRule type="containsText" priority="8534" operator="containsText" id="{A746D219-1420-46A6-AF27-FADE4212CB1A}">
            <xm:f>NOT(ISERROR(SEARCH($Q$12,AL172)))</xm:f>
            <xm:f>$Q$12</xm:f>
            <x14:dxf>
              <fill>
                <patternFill>
                  <bgColor rgb="FF00B050"/>
                </patternFill>
              </fill>
            </x14:dxf>
          </x14:cfRule>
          <x14:cfRule type="containsText" priority="8542" operator="containsText" id="{80E0275A-B298-46F4-94F1-C8FE468BE0BA}">
            <xm:f>NOT(ISERROR(SEARCH($Q$12,AL172)))</xm:f>
            <xm:f>$Q$12</xm:f>
            <x14:dxf>
              <fill>
                <patternFill>
                  <bgColor rgb="FFFFC000"/>
                </patternFill>
              </fill>
            </x14:dxf>
          </x14:cfRule>
          <x14:cfRule type="containsText" priority="8543" operator="containsText" id="{1A9DC363-6805-423A-B2A9-4C7A71016A28}">
            <xm:f>NOT(ISERROR(SEARCH($Q$12,AL172)))</xm:f>
            <xm:f>$Q$12</xm:f>
            <x14:dxf>
              <fill>
                <patternFill>
                  <bgColor rgb="FFFF0000"/>
                </patternFill>
              </fill>
            </x14:dxf>
          </x14:cfRule>
          <x14:cfRule type="containsText" priority="8540" operator="containsText" id="{C31F0072-99C3-4C2C-A5D1-24CD3E358184}">
            <xm:f>NOT(ISERROR(SEARCH($Q$12,AL172)))</xm:f>
            <xm:f>$Q$12</xm:f>
            <x14:dxf>
              <fill>
                <patternFill>
                  <bgColor theme="9"/>
                </patternFill>
              </fill>
            </x14:dxf>
          </x14:cfRule>
          <x14:cfRule type="containsText" priority="8533" operator="containsText" id="{D21942FA-DD67-4110-B1E2-D3921BD97303}">
            <xm:f>NOT(ISERROR(SEARCH($Q$12,AL172)))</xm:f>
            <xm:f>$Q$12</xm:f>
            <x14:dxf>
              <fill>
                <patternFill>
                  <bgColor theme="9" tint="0.39994506668294322"/>
                </patternFill>
              </fill>
            </x14:dxf>
          </x14:cfRule>
          <x14:cfRule type="containsText" priority="8532" operator="containsText" id="{297A16DF-C64E-48C3-89C3-3BD7A1B21ECF}">
            <xm:f>NOT(ISERROR(SEARCH($Q$12,AL172)))</xm:f>
            <xm:f>$Q$12</xm:f>
            <x14:dxf>
              <fill>
                <patternFill>
                  <bgColor theme="9" tint="0.79998168889431442"/>
                </patternFill>
              </fill>
            </x14:dxf>
          </x14:cfRule>
          <x14:cfRule type="containsText" priority="8536" operator="containsText" id="{FFCC6709-6233-417F-88D9-9ECF9AF79B47}">
            <xm:f>NOT(ISERROR(SEARCH($Q$12,AL172)))</xm:f>
            <xm:f>$Q$12</xm:f>
            <x14:dxf>
              <fill>
                <patternFill>
                  <bgColor rgb="FFFFFF00"/>
                </patternFill>
              </fill>
            </x14:dxf>
          </x14:cfRule>
          <x14:cfRule type="containsText" priority="8531" operator="containsText" id="{401332EC-A6F3-4091-AD2D-958E9A5884EE}">
            <xm:f>NOT(ISERROR(SEARCH($Q$12,AL172)))</xm:f>
            <xm:f>$Q$12</xm:f>
            <x14:dxf>
              <fill>
                <patternFill>
                  <bgColor rgb="FFFFFF00"/>
                </patternFill>
              </fill>
            </x14:dxf>
          </x14:cfRule>
          <xm:sqref>AL172</xm:sqref>
        </x14:conditionalFormatting>
        <x14:conditionalFormatting xmlns:xm="http://schemas.microsoft.com/office/excel/2006/main">
          <x14:cfRule type="containsText" priority="8398" operator="containsText" id="{AB352170-9B0C-4BE9-9D75-DBAAC4C460E7}">
            <xm:f>NOT(ISERROR(SEARCH($Q$12,AL182)))</xm:f>
            <xm:f>$Q$12</xm:f>
            <x14:dxf>
              <fill>
                <patternFill>
                  <bgColor rgb="FFFFFF00"/>
                </patternFill>
              </fill>
            </x14:dxf>
          </x14:cfRule>
          <x14:cfRule type="containsText" priority="8405" operator="containsText" id="{CC6F663E-FE70-487B-953E-2101AF9BD72E}">
            <xm:f>NOT(ISERROR(SEARCH($Q$12,AL182)))</xm:f>
            <xm:f>$Q$12</xm:f>
            <x14:dxf>
              <fill>
                <patternFill>
                  <bgColor rgb="FFFF0000"/>
                </patternFill>
              </fill>
            </x14:dxf>
          </x14:cfRule>
          <x14:cfRule type="containsText" priority="8404" operator="containsText" id="{B68D275B-0734-4F15-81FD-D133E49DFEF5}">
            <xm:f>NOT(ISERROR(SEARCH($Q$12,AL182)))</xm:f>
            <xm:f>$Q$12</xm:f>
            <x14:dxf>
              <fill>
                <patternFill>
                  <bgColor rgb="FFFFC000"/>
                </patternFill>
              </fill>
            </x14:dxf>
          </x14:cfRule>
          <x14:cfRule type="containsText" priority="8396" operator="containsText" id="{DA574F87-027D-4777-B20C-618E736CBECB}">
            <xm:f>NOT(ISERROR(SEARCH($Q$12,AL182)))</xm:f>
            <xm:f>$Q$12</xm:f>
            <x14:dxf>
              <fill>
                <patternFill>
                  <bgColor theme="9" tint="0.39994506668294322"/>
                </patternFill>
              </fill>
            </x14:dxf>
          </x14:cfRule>
          <x14:cfRule type="containsText" priority="8397" operator="containsText" id="{E41F126D-CE9F-4675-BFA3-4298C263A52B}">
            <xm:f>NOT(ISERROR(SEARCH($Q$12,AL182)))</xm:f>
            <xm:f>$Q$12</xm:f>
            <x14:dxf>
              <fill>
                <patternFill>
                  <bgColor rgb="FF00B050"/>
                </patternFill>
              </fill>
            </x14:dxf>
          </x14:cfRule>
          <x14:cfRule type="containsText" priority="8399" operator="containsText" id="{621E2AFA-5666-4477-9E15-C2816B4B883C}">
            <xm:f>NOT(ISERROR(SEARCH($Q$12,AL182)))</xm:f>
            <xm:f>$Q$12</xm:f>
            <x14:dxf>
              <fill>
                <patternFill>
                  <bgColor rgb="FFFFC000"/>
                </patternFill>
              </fill>
            </x14:dxf>
          </x14:cfRule>
          <x14:cfRule type="containsText" priority="8400" operator="containsText" id="{57B257D1-C19B-4175-BC3B-BF95CE603644}">
            <xm:f>NOT(ISERROR(SEARCH($Q$12,AL182)))</xm:f>
            <xm:f>$Q$12</xm:f>
            <x14:dxf>
              <fill>
                <patternFill>
                  <bgColor rgb="FFFF0000"/>
                </patternFill>
              </fill>
            </x14:dxf>
          </x14:cfRule>
          <x14:cfRule type="containsText" priority="8401" operator="containsText" id="{05DC08DD-6DBD-4665-B235-871FB2674936}">
            <xm:f>NOT(ISERROR(SEARCH($Q$12,AL182)))</xm:f>
            <xm:f>$Q$12</xm:f>
            <x14:dxf>
              <fill>
                <patternFill>
                  <bgColor theme="9" tint="0.59996337778862885"/>
                </patternFill>
              </fill>
            </x14:dxf>
          </x14:cfRule>
          <x14:cfRule type="containsText" priority="8402" operator="containsText" id="{E441AF4F-5B92-4B9A-855C-F7D9CB68B4BF}">
            <xm:f>NOT(ISERROR(SEARCH($Q$12,AL182)))</xm:f>
            <xm:f>$Q$12</xm:f>
            <x14:dxf>
              <fill>
                <patternFill>
                  <bgColor theme="9"/>
                </patternFill>
              </fill>
            </x14:dxf>
          </x14:cfRule>
          <x14:cfRule type="containsText" priority="8395" operator="containsText" id="{A750D62D-9081-48C5-9F4D-B981A9A33B37}">
            <xm:f>NOT(ISERROR(SEARCH($Q$12,AL182)))</xm:f>
            <xm:f>$Q$12</xm:f>
            <x14:dxf>
              <fill>
                <patternFill>
                  <bgColor theme="9" tint="0.79998168889431442"/>
                </patternFill>
              </fill>
            </x14:dxf>
          </x14:cfRule>
          <x14:cfRule type="containsText" priority="8403" operator="containsText" id="{BD044814-E687-485F-8853-DADC2EBC16B0}">
            <xm:f>NOT(ISERROR(SEARCH($Q$12,AL182)))</xm:f>
            <xm:f>$Q$12</xm:f>
            <x14:dxf>
              <fill>
                <patternFill>
                  <bgColor rgb="FFFFFF00"/>
                </patternFill>
              </fill>
            </x14:dxf>
          </x14:cfRule>
          <xm:sqref>AL182</xm:sqref>
        </x14:conditionalFormatting>
        <x14:conditionalFormatting xmlns:xm="http://schemas.microsoft.com/office/excel/2006/main">
          <x14:cfRule type="containsText" priority="8249" operator="containsText" id="{BDC79073-2050-4521-B21B-81065F0DD40A}">
            <xm:f>NOT(ISERROR(SEARCH($Q$12,AL192)))</xm:f>
            <xm:f>$Q$12</xm:f>
            <x14:dxf>
              <fill>
                <patternFill>
                  <bgColor rgb="FFFFFF00"/>
                </patternFill>
              </fill>
            </x14:dxf>
          </x14:cfRule>
          <x14:cfRule type="containsText" priority="8250" operator="containsText" id="{C2D37FCF-22C0-4695-81B6-AE27CF3F46A6}">
            <xm:f>NOT(ISERROR(SEARCH($Q$12,AL192)))</xm:f>
            <xm:f>$Q$12</xm:f>
            <x14:dxf>
              <fill>
                <patternFill>
                  <bgColor theme="9" tint="0.79998168889431442"/>
                </patternFill>
              </fill>
            </x14:dxf>
          </x14:cfRule>
          <x14:cfRule type="containsText" priority="8254" operator="containsText" id="{E9B74AF4-7440-4100-BA50-FA308C766AEF}">
            <xm:f>NOT(ISERROR(SEARCH($Q$12,AL192)))</xm:f>
            <xm:f>$Q$12</xm:f>
            <x14:dxf>
              <fill>
                <patternFill>
                  <bgColor rgb="FFFFFF00"/>
                </patternFill>
              </fill>
            </x14:dxf>
          </x14:cfRule>
          <x14:cfRule type="containsText" priority="8252" operator="containsText" id="{34B3F735-CD2D-4EED-9B23-314BA8C185CF}">
            <xm:f>NOT(ISERROR(SEARCH($Q$12,AL192)))</xm:f>
            <xm:f>$Q$12</xm:f>
            <x14:dxf>
              <fill>
                <patternFill>
                  <bgColor rgb="FF00B050"/>
                </patternFill>
              </fill>
            </x14:dxf>
          </x14:cfRule>
          <x14:cfRule type="containsText" priority="8251" operator="containsText" id="{0A9930A1-F285-4EB8-9A70-1CA4F472BC41}">
            <xm:f>NOT(ISERROR(SEARCH($Q$12,AL192)))</xm:f>
            <xm:f>$Q$12</xm:f>
            <x14:dxf>
              <fill>
                <patternFill>
                  <bgColor theme="9" tint="0.39994506668294322"/>
                </patternFill>
              </fill>
            </x14:dxf>
          </x14:cfRule>
          <x14:cfRule type="containsText" priority="8260" operator="containsText" id="{32704DD6-E492-415E-A53C-2D304D3204F8}">
            <xm:f>NOT(ISERROR(SEARCH($Q$12,AL192)))</xm:f>
            <xm:f>$Q$12</xm:f>
            <x14:dxf>
              <fill>
                <patternFill>
                  <bgColor rgb="FFFFC000"/>
                </patternFill>
              </fill>
            </x14:dxf>
          </x14:cfRule>
          <x14:cfRule type="containsText" priority="8258" operator="containsText" id="{67E6C0CF-30EF-477D-8652-49F4A46D7DC0}">
            <xm:f>NOT(ISERROR(SEARCH($Q$12,AL192)))</xm:f>
            <xm:f>$Q$12</xm:f>
            <x14:dxf>
              <fill>
                <patternFill>
                  <bgColor theme="9"/>
                </patternFill>
              </fill>
            </x14:dxf>
          </x14:cfRule>
          <x14:cfRule type="containsText" priority="8257" operator="containsText" id="{D16ACCBE-23D2-4453-B95A-B2EF9F0BB447}">
            <xm:f>NOT(ISERROR(SEARCH($Q$12,AL192)))</xm:f>
            <xm:f>$Q$12</xm:f>
            <x14:dxf>
              <fill>
                <patternFill>
                  <bgColor theme="9" tint="0.59996337778862885"/>
                </patternFill>
              </fill>
            </x14:dxf>
          </x14:cfRule>
          <x14:cfRule type="containsText" priority="8256" operator="containsText" id="{5B143874-87B3-44B6-BB3F-1BFDB08D0975}">
            <xm:f>NOT(ISERROR(SEARCH($Q$12,AL192)))</xm:f>
            <xm:f>$Q$12</xm:f>
            <x14:dxf>
              <fill>
                <patternFill>
                  <bgColor rgb="FFFF0000"/>
                </patternFill>
              </fill>
            </x14:dxf>
          </x14:cfRule>
          <x14:cfRule type="containsText" priority="8255" operator="containsText" id="{95492B64-CB79-47F3-B14E-F8AC7D0EA382}">
            <xm:f>NOT(ISERROR(SEARCH($Q$12,AL192)))</xm:f>
            <xm:f>$Q$12</xm:f>
            <x14:dxf>
              <fill>
                <patternFill>
                  <bgColor rgb="FFFFC000"/>
                </patternFill>
              </fill>
            </x14:dxf>
          </x14:cfRule>
          <x14:cfRule type="containsText" priority="8261" operator="containsText" id="{0E2BAF5D-810F-44FD-822C-D46AADD7937E}">
            <xm:f>NOT(ISERROR(SEARCH($Q$12,AL192)))</xm:f>
            <xm:f>$Q$12</xm:f>
            <x14:dxf>
              <fill>
                <patternFill>
                  <bgColor rgb="FFFF0000"/>
                </patternFill>
              </fill>
            </x14:dxf>
          </x14:cfRule>
          <xm:sqref>AL192</xm:sqref>
        </x14:conditionalFormatting>
        <x14:conditionalFormatting xmlns:xm="http://schemas.microsoft.com/office/excel/2006/main">
          <x14:cfRule type="containsText" priority="8231" operator="containsText" id="{4D0D5D44-FE36-49E9-A116-FF60FB97403A}">
            <xm:f>NOT(ISERROR(SEARCH($Q$12,AL202)))</xm:f>
            <xm:f>$Q$12</xm:f>
            <x14:dxf>
              <fill>
                <patternFill>
                  <bgColor theme="9" tint="0.59996337778862885"/>
                </patternFill>
              </fill>
            </x14:dxf>
          </x14:cfRule>
          <x14:cfRule type="containsText" priority="8232" operator="containsText" id="{3730CED8-3ABC-4919-8DA4-45C3DBFD6FDB}">
            <xm:f>NOT(ISERROR(SEARCH($Q$12,AL202)))</xm:f>
            <xm:f>$Q$12</xm:f>
            <x14:dxf>
              <fill>
                <patternFill>
                  <bgColor theme="9"/>
                </patternFill>
              </fill>
            </x14:dxf>
          </x14:cfRule>
          <x14:cfRule type="containsText" priority="8234" operator="containsText" id="{EF4828A3-C7AD-4AB9-BDAE-814E84885E57}">
            <xm:f>NOT(ISERROR(SEARCH($Q$12,AL202)))</xm:f>
            <xm:f>$Q$12</xm:f>
            <x14:dxf>
              <fill>
                <patternFill>
                  <bgColor rgb="FFFFC000"/>
                </patternFill>
              </fill>
            </x14:dxf>
          </x14:cfRule>
          <x14:cfRule type="containsText" priority="8235" operator="containsText" id="{A5EDFC8D-7D60-47CD-817C-A6480E275074}">
            <xm:f>NOT(ISERROR(SEARCH($Q$12,AL202)))</xm:f>
            <xm:f>$Q$12</xm:f>
            <x14:dxf>
              <fill>
                <patternFill>
                  <bgColor rgb="FFFF0000"/>
                </patternFill>
              </fill>
            </x14:dxf>
          </x14:cfRule>
          <x14:cfRule type="containsText" priority="8230" operator="containsText" id="{9DC69A13-066D-4FD5-B128-FD369629FB4D}">
            <xm:f>NOT(ISERROR(SEARCH($Q$12,AL202)))</xm:f>
            <xm:f>$Q$12</xm:f>
            <x14:dxf>
              <fill>
                <patternFill>
                  <bgColor rgb="FFFF0000"/>
                </patternFill>
              </fill>
            </x14:dxf>
          </x14:cfRule>
          <x14:cfRule type="containsText" priority="8229" operator="containsText" id="{06B3060A-E3C7-41CE-B930-F4FFDAF32CC2}">
            <xm:f>NOT(ISERROR(SEARCH($Q$12,AL202)))</xm:f>
            <xm:f>$Q$12</xm:f>
            <x14:dxf>
              <fill>
                <patternFill>
                  <bgColor rgb="FFFFC000"/>
                </patternFill>
              </fill>
            </x14:dxf>
          </x14:cfRule>
          <x14:cfRule type="containsText" priority="8228" operator="containsText" id="{F1737459-3FDE-45D2-931D-508EEAE15249}">
            <xm:f>NOT(ISERROR(SEARCH($Q$12,AL202)))</xm:f>
            <xm:f>$Q$12</xm:f>
            <x14:dxf>
              <fill>
                <patternFill>
                  <bgColor rgb="FFFFFF00"/>
                </patternFill>
              </fill>
            </x14:dxf>
          </x14:cfRule>
          <x14:cfRule type="containsText" priority="8226" operator="containsText" id="{39816289-2B76-4F74-8782-F2053632AB27}">
            <xm:f>NOT(ISERROR(SEARCH($Q$12,AL202)))</xm:f>
            <xm:f>$Q$12</xm:f>
            <x14:dxf>
              <fill>
                <patternFill>
                  <bgColor rgb="FF00B050"/>
                </patternFill>
              </fill>
            </x14:dxf>
          </x14:cfRule>
          <x14:cfRule type="containsText" priority="8225" operator="containsText" id="{B00901E1-A117-49B6-BB5E-B49B1FC82375}">
            <xm:f>NOT(ISERROR(SEARCH($Q$12,AL202)))</xm:f>
            <xm:f>$Q$12</xm:f>
            <x14:dxf>
              <fill>
                <patternFill>
                  <bgColor theme="9" tint="0.39994506668294322"/>
                </patternFill>
              </fill>
            </x14:dxf>
          </x14:cfRule>
          <x14:cfRule type="containsText" priority="8224" operator="containsText" id="{7DA43EBE-DC7A-4A63-8C3D-91BC18EBA16B}">
            <xm:f>NOT(ISERROR(SEARCH($Q$12,AL202)))</xm:f>
            <xm:f>$Q$12</xm:f>
            <x14:dxf>
              <fill>
                <patternFill>
                  <bgColor theme="9" tint="0.79998168889431442"/>
                </patternFill>
              </fill>
            </x14:dxf>
          </x14:cfRule>
          <x14:cfRule type="containsText" priority="8223" operator="containsText" id="{14515842-7C18-4B4E-946A-D8C7401BDF05}">
            <xm:f>NOT(ISERROR(SEARCH($Q$12,AL202)))</xm:f>
            <xm:f>$Q$12</xm:f>
            <x14:dxf>
              <fill>
                <patternFill>
                  <bgColor rgb="FFFFFF00"/>
                </patternFill>
              </fill>
            </x14:dxf>
          </x14:cfRule>
          <xm:sqref>AL202</xm:sqref>
        </x14:conditionalFormatting>
        <x14:conditionalFormatting xmlns:xm="http://schemas.microsoft.com/office/excel/2006/main">
          <x14:cfRule type="containsText" priority="8094" operator="containsText" id="{53972533-140A-4F4E-818B-5E8BEA26615C}">
            <xm:f>NOT(ISERROR(SEARCH($Q$12,AL212)))</xm:f>
            <xm:f>$Q$12</xm:f>
            <x14:dxf>
              <fill>
                <patternFill>
                  <bgColor theme="9"/>
                </patternFill>
              </fill>
            </x14:dxf>
          </x14:cfRule>
          <x14:cfRule type="containsText" priority="8097" operator="containsText" id="{1CE7E624-67DE-42CF-BF11-35EAE6B42892}">
            <xm:f>NOT(ISERROR(SEARCH($Q$12,AL212)))</xm:f>
            <xm:f>$Q$12</xm:f>
            <x14:dxf>
              <fill>
                <patternFill>
                  <bgColor rgb="FFFF0000"/>
                </patternFill>
              </fill>
            </x14:dxf>
          </x14:cfRule>
          <x14:cfRule type="containsText" priority="8096" operator="containsText" id="{3CCF4E9F-70F6-48FA-9552-71286A51CC0D}">
            <xm:f>NOT(ISERROR(SEARCH($Q$12,AL212)))</xm:f>
            <xm:f>$Q$12</xm:f>
            <x14:dxf>
              <fill>
                <patternFill>
                  <bgColor rgb="FFFFC000"/>
                </patternFill>
              </fill>
            </x14:dxf>
          </x14:cfRule>
          <x14:cfRule type="containsText" priority="8095" operator="containsText" id="{86506E36-9D1B-47FA-8E52-AC5FC64440F7}">
            <xm:f>NOT(ISERROR(SEARCH($Q$12,AL212)))</xm:f>
            <xm:f>$Q$12</xm:f>
            <x14:dxf>
              <fill>
                <patternFill>
                  <bgColor rgb="FFFFFF00"/>
                </patternFill>
              </fill>
            </x14:dxf>
          </x14:cfRule>
          <x14:cfRule type="containsText" priority="8093" operator="containsText" id="{358B6980-144C-49D0-9CF4-B331784E9241}">
            <xm:f>NOT(ISERROR(SEARCH($Q$12,AL212)))</xm:f>
            <xm:f>$Q$12</xm:f>
            <x14:dxf>
              <fill>
                <patternFill>
                  <bgColor theme="9" tint="0.59996337778862885"/>
                </patternFill>
              </fill>
            </x14:dxf>
          </x14:cfRule>
          <x14:cfRule type="containsText" priority="8092" operator="containsText" id="{800EDF2C-6D88-474C-8BA8-7781E164D34B}">
            <xm:f>NOT(ISERROR(SEARCH($Q$12,AL212)))</xm:f>
            <xm:f>$Q$12</xm:f>
            <x14:dxf>
              <fill>
                <patternFill>
                  <bgColor rgb="FFFF0000"/>
                </patternFill>
              </fill>
            </x14:dxf>
          </x14:cfRule>
          <x14:cfRule type="containsText" priority="8091" operator="containsText" id="{DF61BBCA-18F9-4320-B8AE-0C8C1880B4BE}">
            <xm:f>NOT(ISERROR(SEARCH($Q$12,AL212)))</xm:f>
            <xm:f>$Q$12</xm:f>
            <x14:dxf>
              <fill>
                <patternFill>
                  <bgColor rgb="FFFFC000"/>
                </patternFill>
              </fill>
            </x14:dxf>
          </x14:cfRule>
          <x14:cfRule type="containsText" priority="8090" operator="containsText" id="{502ED5AB-6AF9-4355-9E69-10EE80CF436C}">
            <xm:f>NOT(ISERROR(SEARCH($Q$12,AL212)))</xm:f>
            <xm:f>$Q$12</xm:f>
            <x14:dxf>
              <fill>
                <patternFill>
                  <bgColor rgb="FFFFFF00"/>
                </patternFill>
              </fill>
            </x14:dxf>
          </x14:cfRule>
          <x14:cfRule type="containsText" priority="8089" operator="containsText" id="{A5D7D9BF-A5F4-40A9-8DB3-878A01DF7B57}">
            <xm:f>NOT(ISERROR(SEARCH($Q$12,AL212)))</xm:f>
            <xm:f>$Q$12</xm:f>
            <x14:dxf>
              <fill>
                <patternFill>
                  <bgColor rgb="FF00B050"/>
                </patternFill>
              </fill>
            </x14:dxf>
          </x14:cfRule>
          <x14:cfRule type="containsText" priority="8088" operator="containsText" id="{1999A49B-CB59-406F-8A07-EE392A9BF668}">
            <xm:f>NOT(ISERROR(SEARCH($Q$12,AL212)))</xm:f>
            <xm:f>$Q$12</xm:f>
            <x14:dxf>
              <fill>
                <patternFill>
                  <bgColor theme="9" tint="0.39994506668294322"/>
                </patternFill>
              </fill>
            </x14:dxf>
          </x14:cfRule>
          <x14:cfRule type="containsText" priority="8087" operator="containsText" id="{09CC12E5-5978-4249-8B78-59ADB2C41095}">
            <xm:f>NOT(ISERROR(SEARCH($Q$12,AL212)))</xm:f>
            <xm:f>$Q$12</xm:f>
            <x14:dxf>
              <fill>
                <patternFill>
                  <bgColor theme="9" tint="0.79998168889431442"/>
                </patternFill>
              </fill>
            </x14:dxf>
          </x14:cfRule>
          <xm:sqref>AL212</xm:sqref>
        </x14:conditionalFormatting>
        <x14:conditionalFormatting xmlns:xm="http://schemas.microsoft.com/office/excel/2006/main">
          <x14:cfRule type="containsText" priority="7501" operator="containsText" id="{755723E3-1474-48CB-99C9-9E0E65118D49}">
            <xm:f>NOT(ISERROR(SEARCH($Q$12,AL222)))</xm:f>
            <xm:f>$Q$12</xm:f>
            <x14:dxf>
              <fill>
                <patternFill>
                  <bgColor theme="9" tint="0.59996337778862885"/>
                </patternFill>
              </fill>
            </x14:dxf>
          </x14:cfRule>
          <x14:cfRule type="containsText" priority="7494" operator="containsText" id="{DEE70FA6-341B-461A-A8E2-7CD67063931E}">
            <xm:f>NOT(ISERROR(SEARCH($Q$12,AL222)))</xm:f>
            <xm:f>$Q$12</xm:f>
            <x14:dxf>
              <fill>
                <patternFill>
                  <bgColor theme="9" tint="0.79998168889431442"/>
                </patternFill>
              </fill>
            </x14:dxf>
          </x14:cfRule>
          <x14:cfRule type="containsText" priority="7499" operator="containsText" id="{CAFB6D07-858F-4861-AE36-CE07AC82467C}">
            <xm:f>NOT(ISERROR(SEARCH($Q$12,AL222)))</xm:f>
            <xm:f>$Q$12</xm:f>
            <x14:dxf>
              <fill>
                <patternFill>
                  <bgColor rgb="FFFFC000"/>
                </patternFill>
              </fill>
            </x14:dxf>
          </x14:cfRule>
          <x14:cfRule type="containsText" priority="7498" operator="containsText" id="{2897A057-FECE-4855-BCDC-4E93495E8DD1}">
            <xm:f>NOT(ISERROR(SEARCH($Q$12,AL222)))</xm:f>
            <xm:f>$Q$12</xm:f>
            <x14:dxf>
              <fill>
                <patternFill>
                  <bgColor rgb="FFFFFF00"/>
                </patternFill>
              </fill>
            </x14:dxf>
          </x14:cfRule>
          <x14:cfRule type="containsText" priority="7496" operator="containsText" id="{4B14CCB5-0033-4423-AA14-07511768F624}">
            <xm:f>NOT(ISERROR(SEARCH($Q$12,AL222)))</xm:f>
            <xm:f>$Q$12</xm:f>
            <x14:dxf>
              <fill>
                <patternFill>
                  <bgColor rgb="FF00B050"/>
                </patternFill>
              </fill>
            </x14:dxf>
          </x14:cfRule>
          <x14:cfRule type="containsText" priority="7500" operator="containsText" id="{FCF93DDB-1038-4727-B30B-0B66BC05DE73}">
            <xm:f>NOT(ISERROR(SEARCH($Q$12,AL222)))</xm:f>
            <xm:f>$Q$12</xm:f>
            <x14:dxf>
              <fill>
                <patternFill>
                  <bgColor rgb="FFFF0000"/>
                </patternFill>
              </fill>
            </x14:dxf>
          </x14:cfRule>
          <x14:cfRule type="containsText" priority="7495" operator="containsText" id="{B2387CC9-0F4B-464D-8A8A-E77D8E0325D1}">
            <xm:f>NOT(ISERROR(SEARCH($Q$12,AL222)))</xm:f>
            <xm:f>$Q$12</xm:f>
            <x14:dxf>
              <fill>
                <patternFill>
                  <bgColor theme="9" tint="0.39994506668294322"/>
                </patternFill>
              </fill>
            </x14:dxf>
          </x14:cfRule>
          <x14:cfRule type="containsText" priority="7502" operator="containsText" id="{31E25B3A-92DE-455A-B6CD-31BBE67DC9DB}">
            <xm:f>NOT(ISERROR(SEARCH($Q$12,AL222)))</xm:f>
            <xm:f>$Q$12</xm:f>
            <x14:dxf>
              <fill>
                <patternFill>
                  <bgColor theme="9"/>
                </patternFill>
              </fill>
            </x14:dxf>
          </x14:cfRule>
          <x14:cfRule type="containsText" priority="7504" operator="containsText" id="{E9A34122-91B2-4308-B820-5C92128E6638}">
            <xm:f>NOT(ISERROR(SEARCH($Q$12,AL222)))</xm:f>
            <xm:f>$Q$12</xm:f>
            <x14:dxf>
              <fill>
                <patternFill>
                  <bgColor rgb="FFFFC000"/>
                </patternFill>
              </fill>
            </x14:dxf>
          </x14:cfRule>
          <x14:cfRule type="containsText" priority="7505" operator="containsText" id="{772ED8D8-C929-4E4D-9370-4EC38DA161B5}">
            <xm:f>NOT(ISERROR(SEARCH($Q$12,AL222)))</xm:f>
            <xm:f>$Q$12</xm:f>
            <x14:dxf>
              <fill>
                <patternFill>
                  <bgColor rgb="FFFF0000"/>
                </patternFill>
              </fill>
            </x14:dxf>
          </x14:cfRule>
          <x14:cfRule type="containsText" priority="7493" operator="containsText" id="{9E385210-AB79-4914-ACF9-83B499E92970}">
            <xm:f>NOT(ISERROR(SEARCH($Q$12,AL222)))</xm:f>
            <xm:f>$Q$12</xm:f>
            <x14:dxf>
              <fill>
                <patternFill>
                  <bgColor rgb="FFFFFF00"/>
                </patternFill>
              </fill>
            </x14:dxf>
          </x14:cfRule>
          <xm:sqref>AL222</xm:sqref>
        </x14:conditionalFormatting>
        <x14:conditionalFormatting xmlns:xm="http://schemas.microsoft.com/office/excel/2006/main">
          <x14:cfRule type="containsText" priority="7474" operator="containsText" id="{EB326DF9-E090-46C2-AB1C-93180FE1824D}">
            <xm:f>NOT(ISERROR(SEARCH($Q$12,AL232)))</xm:f>
            <xm:f>$Q$12</xm:f>
            <x14:dxf>
              <fill>
                <patternFill>
                  <bgColor rgb="FFFF0000"/>
                </patternFill>
              </fill>
            </x14:dxf>
          </x14:cfRule>
          <x14:cfRule type="containsText" priority="7479" operator="containsText" id="{EDA17406-A4DF-4B43-8370-6CDE3DE17D92}">
            <xm:f>NOT(ISERROR(SEARCH($Q$12,AL232)))</xm:f>
            <xm:f>$Q$12</xm:f>
            <x14:dxf>
              <fill>
                <patternFill>
                  <bgColor rgb="FFFF0000"/>
                </patternFill>
              </fill>
            </x14:dxf>
          </x14:cfRule>
          <x14:cfRule type="containsText" priority="7478" operator="containsText" id="{DF4DDA77-B671-44E2-BFFD-77B6C5E143AD}">
            <xm:f>NOT(ISERROR(SEARCH($Q$12,AL232)))</xm:f>
            <xm:f>$Q$12</xm:f>
            <x14:dxf>
              <fill>
                <patternFill>
                  <bgColor rgb="FFFFC000"/>
                </patternFill>
              </fill>
            </x14:dxf>
          </x14:cfRule>
          <x14:cfRule type="containsText" priority="7476" operator="containsText" id="{7D486640-9B4B-4CE3-8BAE-4A0495EC5DC9}">
            <xm:f>NOT(ISERROR(SEARCH($Q$12,AL232)))</xm:f>
            <xm:f>$Q$12</xm:f>
            <x14:dxf>
              <fill>
                <patternFill>
                  <bgColor theme="9"/>
                </patternFill>
              </fill>
            </x14:dxf>
          </x14:cfRule>
          <x14:cfRule type="containsText" priority="7475" operator="containsText" id="{89266835-DDAF-4DF7-BE51-98B7D1167F4B}">
            <xm:f>NOT(ISERROR(SEARCH($Q$12,AL232)))</xm:f>
            <xm:f>$Q$12</xm:f>
            <x14:dxf>
              <fill>
                <patternFill>
                  <bgColor theme="9" tint="0.59996337778862885"/>
                </patternFill>
              </fill>
            </x14:dxf>
          </x14:cfRule>
          <x14:cfRule type="containsText" priority="7473" operator="containsText" id="{BC40EBB2-8A78-487A-9D96-A254ECE58E91}">
            <xm:f>NOT(ISERROR(SEARCH($Q$12,AL232)))</xm:f>
            <xm:f>$Q$12</xm:f>
            <x14:dxf>
              <fill>
                <patternFill>
                  <bgColor rgb="FFFFC000"/>
                </patternFill>
              </fill>
            </x14:dxf>
          </x14:cfRule>
          <x14:cfRule type="containsText" priority="7472" operator="containsText" id="{EAE794BF-1404-4256-85D5-6173263B4290}">
            <xm:f>NOT(ISERROR(SEARCH($Q$12,AL232)))</xm:f>
            <xm:f>$Q$12</xm:f>
            <x14:dxf>
              <fill>
                <patternFill>
                  <bgColor rgb="FFFFFF00"/>
                </patternFill>
              </fill>
            </x14:dxf>
          </x14:cfRule>
          <x14:cfRule type="containsText" priority="7470" operator="containsText" id="{4DF4B731-665F-4B47-A66A-B93913E91770}">
            <xm:f>NOT(ISERROR(SEARCH($Q$12,AL232)))</xm:f>
            <xm:f>$Q$12</xm:f>
            <x14:dxf>
              <fill>
                <patternFill>
                  <bgColor rgb="FF00B050"/>
                </patternFill>
              </fill>
            </x14:dxf>
          </x14:cfRule>
          <x14:cfRule type="containsText" priority="7469" operator="containsText" id="{2E053C9F-E5CA-475E-82B1-2AC3A5C57515}">
            <xm:f>NOT(ISERROR(SEARCH($Q$12,AL232)))</xm:f>
            <xm:f>$Q$12</xm:f>
            <x14:dxf>
              <fill>
                <patternFill>
                  <bgColor theme="9" tint="0.39994506668294322"/>
                </patternFill>
              </fill>
            </x14:dxf>
          </x14:cfRule>
          <x14:cfRule type="containsText" priority="7468" operator="containsText" id="{B21A0E71-E72D-47D9-AB80-6752ED13D3DE}">
            <xm:f>NOT(ISERROR(SEARCH($Q$12,AL232)))</xm:f>
            <xm:f>$Q$12</xm:f>
            <x14:dxf>
              <fill>
                <patternFill>
                  <bgColor theme="9" tint="0.79998168889431442"/>
                </patternFill>
              </fill>
            </x14:dxf>
          </x14:cfRule>
          <x14:cfRule type="containsText" priority="7467" operator="containsText" id="{D5CFE748-C505-4231-8AD7-4F2107214E9A}">
            <xm:f>NOT(ISERROR(SEARCH($Q$12,AL232)))</xm:f>
            <xm:f>$Q$12</xm:f>
            <x14:dxf>
              <fill>
                <patternFill>
                  <bgColor rgb="FFFFFF00"/>
                </patternFill>
              </fill>
            </x14:dxf>
          </x14:cfRule>
          <xm:sqref>AL232</xm:sqref>
        </x14:conditionalFormatting>
        <x14:conditionalFormatting xmlns:xm="http://schemas.microsoft.com/office/excel/2006/main">
          <x14:cfRule type="containsText" priority="7449" operator="containsText" id="{39D52F25-DE8F-4399-AC0B-A89699ED083D}">
            <xm:f>NOT(ISERROR(SEARCH($Q$12,AL242)))</xm:f>
            <xm:f>$Q$12</xm:f>
            <x14:dxf>
              <fill>
                <patternFill>
                  <bgColor theme="9" tint="0.59996337778862885"/>
                </patternFill>
              </fill>
            </x14:dxf>
          </x14:cfRule>
          <x14:cfRule type="containsText" priority="7450" operator="containsText" id="{32E9EFF5-BF42-473C-A44A-FF950C6CDAB1}">
            <xm:f>NOT(ISERROR(SEARCH($Q$12,AL242)))</xm:f>
            <xm:f>$Q$12</xm:f>
            <x14:dxf>
              <fill>
                <patternFill>
                  <bgColor theme="9"/>
                </patternFill>
              </fill>
            </x14:dxf>
          </x14:cfRule>
          <x14:cfRule type="containsText" priority="7452" operator="containsText" id="{E6276B43-10BB-4D63-9FEE-8F53A34EB61B}">
            <xm:f>NOT(ISERROR(SEARCH($Q$12,AL242)))</xm:f>
            <xm:f>$Q$12</xm:f>
            <x14:dxf>
              <fill>
                <patternFill>
                  <bgColor rgb="FFFFC000"/>
                </patternFill>
              </fill>
            </x14:dxf>
          </x14:cfRule>
          <x14:cfRule type="containsText" priority="7447" operator="containsText" id="{EAE9E637-A38E-45D1-B976-1BD6AD82CE32}">
            <xm:f>NOT(ISERROR(SEARCH($Q$12,AL242)))</xm:f>
            <xm:f>$Q$12</xm:f>
            <x14:dxf>
              <fill>
                <patternFill>
                  <bgColor rgb="FFFFC000"/>
                </patternFill>
              </fill>
            </x14:dxf>
          </x14:cfRule>
          <x14:cfRule type="containsText" priority="7441" operator="containsText" id="{9B22C9CB-BA9B-464C-AAA3-7C3066405555}">
            <xm:f>NOT(ISERROR(SEARCH($Q$12,AL242)))</xm:f>
            <xm:f>$Q$12</xm:f>
            <x14:dxf>
              <fill>
                <patternFill>
                  <bgColor rgb="FFFFFF00"/>
                </patternFill>
              </fill>
            </x14:dxf>
          </x14:cfRule>
          <x14:cfRule type="containsText" priority="7448" operator="containsText" id="{EA353BDE-56F4-4345-99A9-A1131B24CAC4}">
            <xm:f>NOT(ISERROR(SEARCH($Q$12,AL242)))</xm:f>
            <xm:f>$Q$12</xm:f>
            <x14:dxf>
              <fill>
                <patternFill>
                  <bgColor rgb="FFFF0000"/>
                </patternFill>
              </fill>
            </x14:dxf>
          </x14:cfRule>
          <x14:cfRule type="containsText" priority="7446" operator="containsText" id="{19B75685-9370-4DA0-B8DF-2EBA130FF386}">
            <xm:f>NOT(ISERROR(SEARCH($Q$12,AL242)))</xm:f>
            <xm:f>$Q$12</xm:f>
            <x14:dxf>
              <fill>
                <patternFill>
                  <bgColor rgb="FFFFFF00"/>
                </patternFill>
              </fill>
            </x14:dxf>
          </x14:cfRule>
          <x14:cfRule type="containsText" priority="7444" operator="containsText" id="{01D0CF27-BDE7-44F1-A053-992BB98B3877}">
            <xm:f>NOT(ISERROR(SEARCH($Q$12,AL242)))</xm:f>
            <xm:f>$Q$12</xm:f>
            <x14:dxf>
              <fill>
                <patternFill>
                  <bgColor rgb="FF00B050"/>
                </patternFill>
              </fill>
            </x14:dxf>
          </x14:cfRule>
          <x14:cfRule type="containsText" priority="7443" operator="containsText" id="{64FA6C0B-6F1E-4EAE-80BC-F283B9F74690}">
            <xm:f>NOT(ISERROR(SEARCH($Q$12,AL242)))</xm:f>
            <xm:f>$Q$12</xm:f>
            <x14:dxf>
              <fill>
                <patternFill>
                  <bgColor theme="9" tint="0.39994506668294322"/>
                </patternFill>
              </fill>
            </x14:dxf>
          </x14:cfRule>
          <x14:cfRule type="containsText" priority="7442" operator="containsText" id="{7343BD2C-5C05-4247-A48D-311A9F23637C}">
            <xm:f>NOT(ISERROR(SEARCH($Q$12,AL242)))</xm:f>
            <xm:f>$Q$12</xm:f>
            <x14:dxf>
              <fill>
                <patternFill>
                  <bgColor theme="9" tint="0.79998168889431442"/>
                </patternFill>
              </fill>
            </x14:dxf>
          </x14:cfRule>
          <x14:cfRule type="containsText" priority="7453" operator="containsText" id="{BEC04363-AA33-4222-AD85-4F095E202190}">
            <xm:f>NOT(ISERROR(SEARCH($Q$12,AL242)))</xm:f>
            <xm:f>$Q$12</xm:f>
            <x14:dxf>
              <fill>
                <patternFill>
                  <bgColor rgb="FFFF0000"/>
                </patternFill>
              </fill>
            </x14:dxf>
          </x14:cfRule>
          <xm:sqref>AL242</xm:sqref>
        </x14:conditionalFormatting>
        <x14:conditionalFormatting xmlns:xm="http://schemas.microsoft.com/office/excel/2006/main">
          <x14:cfRule type="containsText" priority="7421" operator="containsText" id="{EC5FA5E0-EBDE-44AB-AE3A-D31338692864}">
            <xm:f>NOT(ISERROR(SEARCH($Q$12,AL252)))</xm:f>
            <xm:f>$Q$12</xm:f>
            <x14:dxf>
              <fill>
                <patternFill>
                  <bgColor rgb="FFFFC000"/>
                </patternFill>
              </fill>
            </x14:dxf>
          </x14:cfRule>
          <x14:cfRule type="containsText" priority="7418" operator="containsText" id="{203799E2-0EF7-4E13-98D4-07E39493D9B1}">
            <xm:f>NOT(ISERROR(SEARCH($Q$12,AL252)))</xm:f>
            <xm:f>$Q$12</xm:f>
            <x14:dxf>
              <fill>
                <patternFill>
                  <bgColor rgb="FF00B050"/>
                </patternFill>
              </fill>
            </x14:dxf>
          </x14:cfRule>
          <x14:cfRule type="containsText" priority="7417" operator="containsText" id="{7C7B8213-884D-42AC-8F8B-800C21C2181B}">
            <xm:f>NOT(ISERROR(SEARCH($Q$12,AL252)))</xm:f>
            <xm:f>$Q$12</xm:f>
            <x14:dxf>
              <fill>
                <patternFill>
                  <bgColor theme="9" tint="0.39994506668294322"/>
                </patternFill>
              </fill>
            </x14:dxf>
          </x14:cfRule>
          <x14:cfRule type="containsText" priority="7416" operator="containsText" id="{CA30B7CC-BDF4-4361-818E-B6A1BE255255}">
            <xm:f>NOT(ISERROR(SEARCH($Q$12,AL252)))</xm:f>
            <xm:f>$Q$12</xm:f>
            <x14:dxf>
              <fill>
                <patternFill>
                  <bgColor theme="9" tint="0.79998168889431442"/>
                </patternFill>
              </fill>
            </x14:dxf>
          </x14:cfRule>
          <x14:cfRule type="containsText" priority="7420" operator="containsText" id="{EC18D100-F359-40C9-9D68-66B4DE004CB3}">
            <xm:f>NOT(ISERROR(SEARCH($Q$12,AL252)))</xm:f>
            <xm:f>$Q$12</xm:f>
            <x14:dxf>
              <fill>
                <patternFill>
                  <bgColor rgb="FFFFFF00"/>
                </patternFill>
              </fill>
            </x14:dxf>
          </x14:cfRule>
          <x14:cfRule type="containsText" priority="7415" operator="containsText" id="{393CFA7B-1FC7-4FBF-8E7F-5829D57C34FF}">
            <xm:f>NOT(ISERROR(SEARCH($Q$12,AL252)))</xm:f>
            <xm:f>$Q$12</xm:f>
            <x14:dxf>
              <fill>
                <patternFill>
                  <bgColor rgb="FFFFFF00"/>
                </patternFill>
              </fill>
            </x14:dxf>
          </x14:cfRule>
          <x14:cfRule type="containsText" priority="7422" operator="containsText" id="{0397F067-3A08-4812-8FB5-B786240B47E8}">
            <xm:f>NOT(ISERROR(SEARCH($Q$12,AL252)))</xm:f>
            <xm:f>$Q$12</xm:f>
            <x14:dxf>
              <fill>
                <patternFill>
                  <bgColor rgb="FFFF0000"/>
                </patternFill>
              </fill>
            </x14:dxf>
          </x14:cfRule>
          <x14:cfRule type="containsText" priority="7423" operator="containsText" id="{97CE8E43-32A5-4C86-9376-03F917F836C5}">
            <xm:f>NOT(ISERROR(SEARCH($Q$12,AL252)))</xm:f>
            <xm:f>$Q$12</xm:f>
            <x14:dxf>
              <fill>
                <patternFill>
                  <bgColor theme="9" tint="0.59996337778862885"/>
                </patternFill>
              </fill>
            </x14:dxf>
          </x14:cfRule>
          <x14:cfRule type="containsText" priority="7424" operator="containsText" id="{5A295FA8-7BB1-40D6-A37C-6F54CEA409AD}">
            <xm:f>NOT(ISERROR(SEARCH($Q$12,AL252)))</xm:f>
            <xm:f>$Q$12</xm:f>
            <x14:dxf>
              <fill>
                <patternFill>
                  <bgColor theme="9"/>
                </patternFill>
              </fill>
            </x14:dxf>
          </x14:cfRule>
          <x14:cfRule type="containsText" priority="7426" operator="containsText" id="{B73507CC-E444-4F57-9A83-F201C0CE5B5C}">
            <xm:f>NOT(ISERROR(SEARCH($Q$12,AL252)))</xm:f>
            <xm:f>$Q$12</xm:f>
            <x14:dxf>
              <fill>
                <patternFill>
                  <bgColor rgb="FFFFC000"/>
                </patternFill>
              </fill>
            </x14:dxf>
          </x14:cfRule>
          <x14:cfRule type="containsText" priority="7427" operator="containsText" id="{A1D09A1D-73C5-40E5-B216-C56C7553CB1B}">
            <xm:f>NOT(ISERROR(SEARCH($Q$12,AL252)))</xm:f>
            <xm:f>$Q$12</xm:f>
            <x14:dxf>
              <fill>
                <patternFill>
                  <bgColor rgb="FFFF0000"/>
                </patternFill>
              </fill>
            </x14:dxf>
          </x14:cfRule>
          <xm:sqref>AL252</xm:sqref>
        </x14:conditionalFormatting>
        <x14:conditionalFormatting xmlns:xm="http://schemas.microsoft.com/office/excel/2006/main">
          <x14:cfRule type="containsText" priority="7398" operator="containsText" id="{1A2D5827-BBD4-4C62-B35F-3070927E710C}">
            <xm:f>NOT(ISERROR(SEARCH($Q$12,AL262)))</xm:f>
            <xm:f>$Q$12</xm:f>
            <x14:dxf>
              <fill>
                <patternFill>
                  <bgColor theme="9"/>
                </patternFill>
              </fill>
            </x14:dxf>
          </x14:cfRule>
          <x14:cfRule type="containsText" priority="7400" operator="containsText" id="{D04CE843-D8A0-4D70-84B0-8F8A09077370}">
            <xm:f>NOT(ISERROR(SEARCH($Q$12,AL262)))</xm:f>
            <xm:f>$Q$12</xm:f>
            <x14:dxf>
              <fill>
                <patternFill>
                  <bgColor rgb="FFFFC000"/>
                </patternFill>
              </fill>
            </x14:dxf>
          </x14:cfRule>
          <x14:cfRule type="containsText" priority="7396" operator="containsText" id="{888273D8-2493-4792-9906-34AA1E825E7B}">
            <xm:f>NOT(ISERROR(SEARCH($Q$12,AL262)))</xm:f>
            <xm:f>$Q$12</xm:f>
            <x14:dxf>
              <fill>
                <patternFill>
                  <bgColor rgb="FFFF0000"/>
                </patternFill>
              </fill>
            </x14:dxf>
          </x14:cfRule>
          <x14:cfRule type="containsText" priority="7395" operator="containsText" id="{49797898-2A99-4A0C-9036-6562DECA29B1}">
            <xm:f>NOT(ISERROR(SEARCH($Q$12,AL262)))</xm:f>
            <xm:f>$Q$12</xm:f>
            <x14:dxf>
              <fill>
                <patternFill>
                  <bgColor rgb="FFFFC000"/>
                </patternFill>
              </fill>
            </x14:dxf>
          </x14:cfRule>
          <x14:cfRule type="containsText" priority="7394" operator="containsText" id="{7BE35E6A-F782-4861-81DD-560BD3C286B5}">
            <xm:f>NOT(ISERROR(SEARCH($Q$12,AL262)))</xm:f>
            <xm:f>$Q$12</xm:f>
            <x14:dxf>
              <fill>
                <patternFill>
                  <bgColor rgb="FFFFFF00"/>
                </patternFill>
              </fill>
            </x14:dxf>
          </x14:cfRule>
          <x14:cfRule type="containsText" priority="7392" operator="containsText" id="{1949BCB8-F86C-442B-8247-87DDE777DC5F}">
            <xm:f>NOT(ISERROR(SEARCH($Q$12,AL262)))</xm:f>
            <xm:f>$Q$12</xm:f>
            <x14:dxf>
              <fill>
                <patternFill>
                  <bgColor rgb="FF00B050"/>
                </patternFill>
              </fill>
            </x14:dxf>
          </x14:cfRule>
          <x14:cfRule type="containsText" priority="7391" operator="containsText" id="{769D8F67-FF0F-4E7C-8294-E98DA681640D}">
            <xm:f>NOT(ISERROR(SEARCH($Q$12,AL262)))</xm:f>
            <xm:f>$Q$12</xm:f>
            <x14:dxf>
              <fill>
                <patternFill>
                  <bgColor theme="9" tint="0.39994506668294322"/>
                </patternFill>
              </fill>
            </x14:dxf>
          </x14:cfRule>
          <x14:cfRule type="containsText" priority="7397" operator="containsText" id="{458B6684-1797-437F-8A98-F8C72CC77D08}">
            <xm:f>NOT(ISERROR(SEARCH($Q$12,AL262)))</xm:f>
            <xm:f>$Q$12</xm:f>
            <x14:dxf>
              <fill>
                <patternFill>
                  <bgColor theme="9" tint="0.59996337778862885"/>
                </patternFill>
              </fill>
            </x14:dxf>
          </x14:cfRule>
          <x14:cfRule type="containsText" priority="7390" operator="containsText" id="{B0F85489-E68F-4F69-BB0A-C953B5CD53CD}">
            <xm:f>NOT(ISERROR(SEARCH($Q$12,AL262)))</xm:f>
            <xm:f>$Q$12</xm:f>
            <x14:dxf>
              <fill>
                <patternFill>
                  <bgColor theme="9" tint="0.79998168889431442"/>
                </patternFill>
              </fill>
            </x14:dxf>
          </x14:cfRule>
          <x14:cfRule type="containsText" priority="7389" operator="containsText" id="{7E54ACE2-BE92-41CF-9F3E-36DD7CE52495}">
            <xm:f>NOT(ISERROR(SEARCH($Q$12,AL262)))</xm:f>
            <xm:f>$Q$12</xm:f>
            <x14:dxf>
              <fill>
                <patternFill>
                  <bgColor rgb="FFFFFF00"/>
                </patternFill>
              </fill>
            </x14:dxf>
          </x14:cfRule>
          <x14:cfRule type="containsText" priority="7401" operator="containsText" id="{CF0DAEEA-0A04-43EC-9E35-2DA2ADA0BD8E}">
            <xm:f>NOT(ISERROR(SEARCH($Q$12,AL262)))</xm:f>
            <xm:f>$Q$12</xm:f>
            <x14:dxf>
              <fill>
                <patternFill>
                  <bgColor rgb="FFFF0000"/>
                </patternFill>
              </fill>
            </x14:dxf>
          </x14:cfRule>
          <xm:sqref>AL262</xm:sqref>
        </x14:conditionalFormatting>
        <x14:conditionalFormatting xmlns:xm="http://schemas.microsoft.com/office/excel/2006/main">
          <x14:cfRule type="containsText" priority="7371" operator="containsText" id="{111F0E28-6A65-459D-A578-6A2C9741EF84}">
            <xm:f>NOT(ISERROR(SEARCH($Q$12,AL272)))</xm:f>
            <xm:f>$Q$12</xm:f>
            <x14:dxf>
              <fill>
                <patternFill>
                  <bgColor theme="9" tint="0.59996337778862885"/>
                </patternFill>
              </fill>
            </x14:dxf>
          </x14:cfRule>
          <x14:cfRule type="containsText" priority="7372" operator="containsText" id="{104DFB5A-49E1-4914-804F-A35244201A58}">
            <xm:f>NOT(ISERROR(SEARCH($Q$12,AL272)))</xm:f>
            <xm:f>$Q$12</xm:f>
            <x14:dxf>
              <fill>
                <patternFill>
                  <bgColor theme="9"/>
                </patternFill>
              </fill>
            </x14:dxf>
          </x14:cfRule>
          <x14:cfRule type="containsText" priority="7375" operator="containsText" id="{7958998C-F5B5-4069-8BDD-502C006C5585}">
            <xm:f>NOT(ISERROR(SEARCH($Q$12,AL272)))</xm:f>
            <xm:f>$Q$12</xm:f>
            <x14:dxf>
              <fill>
                <patternFill>
                  <bgColor rgb="FFFF0000"/>
                </patternFill>
              </fill>
            </x14:dxf>
          </x14:cfRule>
          <x14:cfRule type="containsText" priority="7369" operator="containsText" id="{D07D9696-C6E3-4776-9A13-23F0B77EC95A}">
            <xm:f>NOT(ISERROR(SEARCH($Q$12,AL272)))</xm:f>
            <xm:f>$Q$12</xm:f>
            <x14:dxf>
              <fill>
                <patternFill>
                  <bgColor rgb="FFFFC000"/>
                </patternFill>
              </fill>
            </x14:dxf>
          </x14:cfRule>
          <x14:cfRule type="containsText" priority="7374" operator="containsText" id="{CD90625A-DC52-4F11-ACDC-56198A5EF6ED}">
            <xm:f>NOT(ISERROR(SEARCH($Q$12,AL272)))</xm:f>
            <xm:f>$Q$12</xm:f>
            <x14:dxf>
              <fill>
                <patternFill>
                  <bgColor rgb="FFFFC000"/>
                </patternFill>
              </fill>
            </x14:dxf>
          </x14:cfRule>
          <x14:cfRule type="containsText" priority="7366" operator="containsText" id="{165C1C54-BC8C-46AC-87A0-F3D79A59027A}">
            <xm:f>NOT(ISERROR(SEARCH($Q$12,AL272)))</xm:f>
            <xm:f>$Q$12</xm:f>
            <x14:dxf>
              <fill>
                <patternFill>
                  <bgColor rgb="FF00B050"/>
                </patternFill>
              </fill>
            </x14:dxf>
          </x14:cfRule>
          <x14:cfRule type="containsText" priority="7363" operator="containsText" id="{C29B859B-A8CF-4A83-8E57-DB395DB2E40E}">
            <xm:f>NOT(ISERROR(SEARCH($Q$12,AL272)))</xm:f>
            <xm:f>$Q$12</xm:f>
            <x14:dxf>
              <fill>
                <patternFill>
                  <bgColor rgb="FFFFFF00"/>
                </patternFill>
              </fill>
            </x14:dxf>
          </x14:cfRule>
          <x14:cfRule type="containsText" priority="7364" operator="containsText" id="{04C2A9D6-EFCE-44C1-94F8-48C0DA59D99D}">
            <xm:f>NOT(ISERROR(SEARCH($Q$12,AL272)))</xm:f>
            <xm:f>$Q$12</xm:f>
            <x14:dxf>
              <fill>
                <patternFill>
                  <bgColor theme="9" tint="0.79998168889431442"/>
                </patternFill>
              </fill>
            </x14:dxf>
          </x14:cfRule>
          <x14:cfRule type="containsText" priority="7365" operator="containsText" id="{B46C9AB7-F5A2-42CC-9621-796EE4A4D37E}">
            <xm:f>NOT(ISERROR(SEARCH($Q$12,AL272)))</xm:f>
            <xm:f>$Q$12</xm:f>
            <x14:dxf>
              <fill>
                <patternFill>
                  <bgColor theme="9" tint="0.39994506668294322"/>
                </patternFill>
              </fill>
            </x14:dxf>
          </x14:cfRule>
          <x14:cfRule type="containsText" priority="7368" operator="containsText" id="{F5167BF2-0B3F-4279-B6A8-A52251566856}">
            <xm:f>NOT(ISERROR(SEARCH($Q$12,AL272)))</xm:f>
            <xm:f>$Q$12</xm:f>
            <x14:dxf>
              <fill>
                <patternFill>
                  <bgColor rgb="FFFFFF00"/>
                </patternFill>
              </fill>
            </x14:dxf>
          </x14:cfRule>
          <x14:cfRule type="containsText" priority="7370" operator="containsText" id="{7718C5DE-3C21-4282-AC78-FA226A8EFAFD}">
            <xm:f>NOT(ISERROR(SEARCH($Q$12,AL272)))</xm:f>
            <xm:f>$Q$12</xm:f>
            <x14:dxf>
              <fill>
                <patternFill>
                  <bgColor rgb="FFFF0000"/>
                </patternFill>
              </fill>
            </x14:dxf>
          </x14:cfRule>
          <xm:sqref>AL272</xm:sqref>
        </x14:conditionalFormatting>
        <x14:conditionalFormatting xmlns:xm="http://schemas.microsoft.com/office/excel/2006/main">
          <x14:cfRule type="containsText" priority="7345" operator="containsText" id="{421A733D-F149-4E3D-ADBD-2A755C70E840}">
            <xm:f>NOT(ISERROR(SEARCH($Q$12,AL282)))</xm:f>
            <xm:f>$Q$12</xm:f>
            <x14:dxf>
              <fill>
                <patternFill>
                  <bgColor theme="9" tint="0.59996337778862885"/>
                </patternFill>
              </fill>
            </x14:dxf>
          </x14:cfRule>
          <x14:cfRule type="containsText" priority="7344" operator="containsText" id="{A2291B1E-C922-431A-9BCB-6B1787332902}">
            <xm:f>NOT(ISERROR(SEARCH($Q$12,AL282)))</xm:f>
            <xm:f>$Q$12</xm:f>
            <x14:dxf>
              <fill>
                <patternFill>
                  <bgColor rgb="FFFF0000"/>
                </patternFill>
              </fill>
            </x14:dxf>
          </x14:cfRule>
          <x14:cfRule type="containsText" priority="7338" operator="containsText" id="{AF6914FA-05C4-4750-BE9A-E7B43E37EDB0}">
            <xm:f>NOT(ISERROR(SEARCH($Q$12,AL282)))</xm:f>
            <xm:f>$Q$12</xm:f>
            <x14:dxf>
              <fill>
                <patternFill>
                  <bgColor theme="9" tint="0.79998168889431442"/>
                </patternFill>
              </fill>
            </x14:dxf>
          </x14:cfRule>
          <x14:cfRule type="containsText" priority="7337" operator="containsText" id="{F7DFEFEA-876E-4463-AA8B-3FBDE65ABCE2}">
            <xm:f>NOT(ISERROR(SEARCH($Q$12,AL282)))</xm:f>
            <xm:f>$Q$12</xm:f>
            <x14:dxf>
              <fill>
                <patternFill>
                  <bgColor rgb="FFFFFF00"/>
                </patternFill>
              </fill>
            </x14:dxf>
          </x14:cfRule>
          <x14:cfRule type="containsText" priority="7339" operator="containsText" id="{D640901C-55A5-46DF-B2FD-4EB620E75188}">
            <xm:f>NOT(ISERROR(SEARCH($Q$12,AL282)))</xm:f>
            <xm:f>$Q$12</xm:f>
            <x14:dxf>
              <fill>
                <patternFill>
                  <bgColor theme="9" tint="0.39994506668294322"/>
                </patternFill>
              </fill>
            </x14:dxf>
          </x14:cfRule>
          <x14:cfRule type="containsText" priority="7343" operator="containsText" id="{70A365AE-4117-4AC3-B19F-D8BFFCBF3B18}">
            <xm:f>NOT(ISERROR(SEARCH($Q$12,AL282)))</xm:f>
            <xm:f>$Q$12</xm:f>
            <x14:dxf>
              <fill>
                <patternFill>
                  <bgColor rgb="FFFFC000"/>
                </patternFill>
              </fill>
            </x14:dxf>
          </x14:cfRule>
          <x14:cfRule type="containsText" priority="7342" operator="containsText" id="{6F85CE1C-1BAF-4479-8250-BFAE4A9D4B5B}">
            <xm:f>NOT(ISERROR(SEARCH($Q$12,AL282)))</xm:f>
            <xm:f>$Q$12</xm:f>
            <x14:dxf>
              <fill>
                <patternFill>
                  <bgColor rgb="FFFFFF00"/>
                </patternFill>
              </fill>
            </x14:dxf>
          </x14:cfRule>
          <x14:cfRule type="containsText" priority="7340" operator="containsText" id="{2D198746-5AAA-4A81-AEFE-1FE2E9F7AE3D}">
            <xm:f>NOT(ISERROR(SEARCH($Q$12,AL282)))</xm:f>
            <xm:f>$Q$12</xm:f>
            <x14:dxf>
              <fill>
                <patternFill>
                  <bgColor rgb="FF00B050"/>
                </patternFill>
              </fill>
            </x14:dxf>
          </x14:cfRule>
          <x14:cfRule type="containsText" priority="7349" operator="containsText" id="{60F1EA7E-C7C5-4772-B052-64A6297E57AE}">
            <xm:f>NOT(ISERROR(SEARCH($Q$12,AL282)))</xm:f>
            <xm:f>$Q$12</xm:f>
            <x14:dxf>
              <fill>
                <patternFill>
                  <bgColor rgb="FFFF0000"/>
                </patternFill>
              </fill>
            </x14:dxf>
          </x14:cfRule>
          <x14:cfRule type="containsText" priority="7348" operator="containsText" id="{3B4C2600-BB47-4B6A-9130-3B65FA918626}">
            <xm:f>NOT(ISERROR(SEARCH($Q$12,AL282)))</xm:f>
            <xm:f>$Q$12</xm:f>
            <x14:dxf>
              <fill>
                <patternFill>
                  <bgColor rgb="FFFFC000"/>
                </patternFill>
              </fill>
            </x14:dxf>
          </x14:cfRule>
          <x14:cfRule type="containsText" priority="7346" operator="containsText" id="{D289C137-AE5E-485F-8454-0D92A6311A45}">
            <xm:f>NOT(ISERROR(SEARCH($Q$12,AL282)))</xm:f>
            <xm:f>$Q$12</xm:f>
            <x14:dxf>
              <fill>
                <patternFill>
                  <bgColor theme="9"/>
                </patternFill>
              </fill>
            </x14:dxf>
          </x14:cfRule>
          <xm:sqref>AL282</xm:sqref>
        </x14:conditionalFormatting>
        <x14:conditionalFormatting xmlns:xm="http://schemas.microsoft.com/office/excel/2006/main">
          <x14:cfRule type="containsText" priority="7317" operator="containsText" id="{22725FE0-13FC-4B8E-8576-9C82AE95011D}">
            <xm:f>NOT(ISERROR(SEARCH($Q$12,AL292)))</xm:f>
            <xm:f>$Q$12</xm:f>
            <x14:dxf>
              <fill>
                <patternFill>
                  <bgColor rgb="FFFFC000"/>
                </patternFill>
              </fill>
            </x14:dxf>
          </x14:cfRule>
          <x14:cfRule type="containsText" priority="7318" operator="containsText" id="{24167571-D910-43BB-BF2A-2432D1FF1074}">
            <xm:f>NOT(ISERROR(SEARCH($Q$12,AL292)))</xm:f>
            <xm:f>$Q$12</xm:f>
            <x14:dxf>
              <fill>
                <patternFill>
                  <bgColor rgb="FFFF0000"/>
                </patternFill>
              </fill>
            </x14:dxf>
          </x14:cfRule>
          <x14:cfRule type="containsText" priority="7319" operator="containsText" id="{157E5F5A-DCA0-47CE-9851-10DF42B1673A}">
            <xm:f>NOT(ISERROR(SEARCH($Q$12,AL292)))</xm:f>
            <xm:f>$Q$12</xm:f>
            <x14:dxf>
              <fill>
                <patternFill>
                  <bgColor theme="9" tint="0.59996337778862885"/>
                </patternFill>
              </fill>
            </x14:dxf>
          </x14:cfRule>
          <x14:cfRule type="containsText" priority="7322" operator="containsText" id="{1F148D80-B9AD-4110-909E-37EB9698A8EC}">
            <xm:f>NOT(ISERROR(SEARCH($Q$12,AL292)))</xm:f>
            <xm:f>$Q$12</xm:f>
            <x14:dxf>
              <fill>
                <patternFill>
                  <bgColor rgb="FFFFC000"/>
                </patternFill>
              </fill>
            </x14:dxf>
          </x14:cfRule>
          <x14:cfRule type="containsText" priority="7316" operator="containsText" id="{B59B1B5B-8B88-4EA6-9247-FBD435B22D91}">
            <xm:f>NOT(ISERROR(SEARCH($Q$12,AL292)))</xm:f>
            <xm:f>$Q$12</xm:f>
            <x14:dxf>
              <fill>
                <patternFill>
                  <bgColor rgb="FFFFFF00"/>
                </patternFill>
              </fill>
            </x14:dxf>
          </x14:cfRule>
          <x14:cfRule type="containsText" priority="7313" operator="containsText" id="{A1BF63A6-0C9E-4799-BF63-679FB2D561CC}">
            <xm:f>NOT(ISERROR(SEARCH($Q$12,AL292)))</xm:f>
            <xm:f>$Q$12</xm:f>
            <x14:dxf>
              <fill>
                <patternFill>
                  <bgColor theme="9" tint="0.39994506668294322"/>
                </patternFill>
              </fill>
            </x14:dxf>
          </x14:cfRule>
          <x14:cfRule type="containsText" priority="7312" operator="containsText" id="{F1D2FE25-688E-4DC1-B4B8-D54BE1651212}">
            <xm:f>NOT(ISERROR(SEARCH($Q$12,AL292)))</xm:f>
            <xm:f>$Q$12</xm:f>
            <x14:dxf>
              <fill>
                <patternFill>
                  <bgColor theme="9" tint="0.79998168889431442"/>
                </patternFill>
              </fill>
            </x14:dxf>
          </x14:cfRule>
          <x14:cfRule type="containsText" priority="7311" operator="containsText" id="{33E529B0-41B3-42F1-B026-1597A8240167}">
            <xm:f>NOT(ISERROR(SEARCH($Q$12,AL292)))</xm:f>
            <xm:f>$Q$12</xm:f>
            <x14:dxf>
              <fill>
                <patternFill>
                  <bgColor rgb="FFFFFF00"/>
                </patternFill>
              </fill>
            </x14:dxf>
          </x14:cfRule>
          <x14:cfRule type="containsText" priority="7323" operator="containsText" id="{579F2916-4E8A-4077-959D-C8A2B499282C}">
            <xm:f>NOT(ISERROR(SEARCH($Q$12,AL292)))</xm:f>
            <xm:f>$Q$12</xm:f>
            <x14:dxf>
              <fill>
                <patternFill>
                  <bgColor rgb="FFFF0000"/>
                </patternFill>
              </fill>
            </x14:dxf>
          </x14:cfRule>
          <x14:cfRule type="containsText" priority="7314" operator="containsText" id="{80EFF4A4-F9AE-4594-94B0-8847B217D3DC}">
            <xm:f>NOT(ISERROR(SEARCH($Q$12,AL292)))</xm:f>
            <xm:f>$Q$12</xm:f>
            <x14:dxf>
              <fill>
                <patternFill>
                  <bgColor rgb="FF00B050"/>
                </patternFill>
              </fill>
            </x14:dxf>
          </x14:cfRule>
          <x14:cfRule type="containsText" priority="7320" operator="containsText" id="{14790C7F-F075-4207-AE1F-8827088D19A6}">
            <xm:f>NOT(ISERROR(SEARCH($Q$12,AL292)))</xm:f>
            <xm:f>$Q$12</xm:f>
            <x14:dxf>
              <fill>
                <patternFill>
                  <bgColor theme="9"/>
                </patternFill>
              </fill>
            </x14:dxf>
          </x14:cfRule>
          <xm:sqref>AL292</xm:sqref>
        </x14:conditionalFormatting>
        <x14:conditionalFormatting xmlns:xm="http://schemas.microsoft.com/office/excel/2006/main">
          <x14:cfRule type="containsText" priority="7297" operator="containsText" id="{B81D68CB-2377-45F2-9C0F-7EB78FE3430F}">
            <xm:f>NOT(ISERROR(SEARCH($Q$12,AL302)))</xm:f>
            <xm:f>$Q$12</xm:f>
            <x14:dxf>
              <fill>
                <patternFill>
                  <bgColor rgb="FFFF0000"/>
                </patternFill>
              </fill>
            </x14:dxf>
          </x14:cfRule>
          <x14:cfRule type="containsText" priority="7296" operator="containsText" id="{7EFF8E00-62F8-4CA1-AECB-137415B74528}">
            <xm:f>NOT(ISERROR(SEARCH($Q$12,AL302)))</xm:f>
            <xm:f>$Q$12</xm:f>
            <x14:dxf>
              <fill>
                <patternFill>
                  <bgColor rgb="FFFFC000"/>
                </patternFill>
              </fill>
            </x14:dxf>
          </x14:cfRule>
          <x14:cfRule type="containsText" priority="7294" operator="containsText" id="{72F21309-8281-4A50-B0ED-64810812C728}">
            <xm:f>NOT(ISERROR(SEARCH($Q$12,AL302)))</xm:f>
            <xm:f>$Q$12</xm:f>
            <x14:dxf>
              <fill>
                <patternFill>
                  <bgColor theme="9"/>
                </patternFill>
              </fill>
            </x14:dxf>
          </x14:cfRule>
          <x14:cfRule type="containsText" priority="7293" operator="containsText" id="{48687E86-2497-411A-81D6-90D1143E4B51}">
            <xm:f>NOT(ISERROR(SEARCH($Q$12,AL302)))</xm:f>
            <xm:f>$Q$12</xm:f>
            <x14:dxf>
              <fill>
                <patternFill>
                  <bgColor theme="9" tint="0.59996337778862885"/>
                </patternFill>
              </fill>
            </x14:dxf>
          </x14:cfRule>
          <x14:cfRule type="containsText" priority="7292" operator="containsText" id="{16ABD09C-5613-4E3F-B8C6-C3145B3B2131}">
            <xm:f>NOT(ISERROR(SEARCH($Q$12,AL302)))</xm:f>
            <xm:f>$Q$12</xm:f>
            <x14:dxf>
              <fill>
                <patternFill>
                  <bgColor rgb="FFFF0000"/>
                </patternFill>
              </fill>
            </x14:dxf>
          </x14:cfRule>
          <x14:cfRule type="containsText" priority="7291" operator="containsText" id="{09838ACB-F153-4D61-98B7-D13569C49CE3}">
            <xm:f>NOT(ISERROR(SEARCH($Q$12,AL302)))</xm:f>
            <xm:f>$Q$12</xm:f>
            <x14:dxf>
              <fill>
                <patternFill>
                  <bgColor rgb="FFFFC000"/>
                </patternFill>
              </fill>
            </x14:dxf>
          </x14:cfRule>
          <x14:cfRule type="containsText" priority="7288" operator="containsText" id="{6176C8E4-319A-4E69-A0B6-DD5F043FD0AC}">
            <xm:f>NOT(ISERROR(SEARCH($Q$12,AL302)))</xm:f>
            <xm:f>$Q$12</xm:f>
            <x14:dxf>
              <fill>
                <patternFill>
                  <bgColor rgb="FF00B050"/>
                </patternFill>
              </fill>
            </x14:dxf>
          </x14:cfRule>
          <x14:cfRule type="containsText" priority="7287" operator="containsText" id="{53CA4E69-38F5-4A4C-874B-7416AC63A862}">
            <xm:f>NOT(ISERROR(SEARCH($Q$12,AL302)))</xm:f>
            <xm:f>$Q$12</xm:f>
            <x14:dxf>
              <fill>
                <patternFill>
                  <bgColor theme="9" tint="0.39994506668294322"/>
                </patternFill>
              </fill>
            </x14:dxf>
          </x14:cfRule>
          <x14:cfRule type="containsText" priority="7285" operator="containsText" id="{D09B860E-2953-42AD-92B7-DA885DEC7EEF}">
            <xm:f>NOT(ISERROR(SEARCH($Q$12,AL302)))</xm:f>
            <xm:f>$Q$12</xm:f>
            <x14:dxf>
              <fill>
                <patternFill>
                  <bgColor rgb="FFFFFF00"/>
                </patternFill>
              </fill>
            </x14:dxf>
          </x14:cfRule>
          <x14:cfRule type="containsText" priority="7290" operator="containsText" id="{2720E7F2-8309-4DA5-B9BE-7D4D248DBB0A}">
            <xm:f>NOT(ISERROR(SEARCH($Q$12,AL302)))</xm:f>
            <xm:f>$Q$12</xm:f>
            <x14:dxf>
              <fill>
                <patternFill>
                  <bgColor rgb="FFFFFF00"/>
                </patternFill>
              </fill>
            </x14:dxf>
          </x14:cfRule>
          <x14:cfRule type="containsText" priority="7286" operator="containsText" id="{3CDED71A-E079-4719-AA9B-CE3C8A86BCA5}">
            <xm:f>NOT(ISERROR(SEARCH($Q$12,AL302)))</xm:f>
            <xm:f>$Q$12</xm:f>
            <x14:dxf>
              <fill>
                <patternFill>
                  <bgColor theme="9" tint="0.79998168889431442"/>
                </patternFill>
              </fill>
            </x14:dxf>
          </x14:cfRule>
          <xm:sqref>AL302</xm:sqref>
        </x14:conditionalFormatting>
        <x14:conditionalFormatting xmlns:xm="http://schemas.microsoft.com/office/excel/2006/main">
          <x14:cfRule type="containsText" priority="7111" operator="containsText" id="{4EFD77A7-5BF1-4E96-8C48-3E2399E42DE9}">
            <xm:f>NOT(ISERROR(SEARCH($Q$12,AL312)))</xm:f>
            <xm:f>$Q$12</xm:f>
            <x14:dxf>
              <fill>
                <patternFill>
                  <bgColor rgb="FFFFFF00"/>
                </patternFill>
              </fill>
            </x14:dxf>
          </x14:cfRule>
          <x14:cfRule type="containsText" priority="7119" operator="containsText" id="{9BDFBE84-8C28-4511-899A-90271186E2C7}">
            <xm:f>NOT(ISERROR(SEARCH($Q$12,AL312)))</xm:f>
            <xm:f>$Q$12</xm:f>
            <x14:dxf>
              <fill>
                <patternFill>
                  <bgColor theme="9" tint="0.59996337778862885"/>
                </patternFill>
              </fill>
            </x14:dxf>
          </x14:cfRule>
          <x14:cfRule type="containsText" priority="7120" operator="containsText" id="{A86A7229-F401-4A0C-ABF5-8F1E333AA594}">
            <xm:f>NOT(ISERROR(SEARCH($Q$12,AL312)))</xm:f>
            <xm:f>$Q$12</xm:f>
            <x14:dxf>
              <fill>
                <patternFill>
                  <bgColor theme="9"/>
                </patternFill>
              </fill>
            </x14:dxf>
          </x14:cfRule>
          <x14:cfRule type="containsText" priority="7122" operator="containsText" id="{3545D716-68DB-4334-852F-215F1644CC73}">
            <xm:f>NOT(ISERROR(SEARCH($Q$12,AL312)))</xm:f>
            <xm:f>$Q$12</xm:f>
            <x14:dxf>
              <fill>
                <patternFill>
                  <bgColor rgb="FFFFC000"/>
                </patternFill>
              </fill>
            </x14:dxf>
          </x14:cfRule>
          <x14:cfRule type="containsText" priority="7123" operator="containsText" id="{9BEB3C32-6FEB-4C1F-9666-0E42A64C02D1}">
            <xm:f>NOT(ISERROR(SEARCH($Q$12,AL312)))</xm:f>
            <xm:f>$Q$12</xm:f>
            <x14:dxf>
              <fill>
                <patternFill>
                  <bgColor rgb="FFFF0000"/>
                </patternFill>
              </fill>
            </x14:dxf>
          </x14:cfRule>
          <x14:cfRule type="containsText" priority="7112" operator="containsText" id="{27EE51A4-AEDE-4573-A87E-5EC707D5D250}">
            <xm:f>NOT(ISERROR(SEARCH($Q$12,AL312)))</xm:f>
            <xm:f>$Q$12</xm:f>
            <x14:dxf>
              <fill>
                <patternFill>
                  <bgColor theme="9" tint="0.79998168889431442"/>
                </patternFill>
              </fill>
            </x14:dxf>
          </x14:cfRule>
          <x14:cfRule type="containsText" priority="7113" operator="containsText" id="{D05A3F4D-586F-4E10-BF9D-30A98FCF57EB}">
            <xm:f>NOT(ISERROR(SEARCH($Q$12,AL312)))</xm:f>
            <xm:f>$Q$12</xm:f>
            <x14:dxf>
              <fill>
                <patternFill>
                  <bgColor theme="9" tint="0.39994506668294322"/>
                </patternFill>
              </fill>
            </x14:dxf>
          </x14:cfRule>
          <x14:cfRule type="containsText" priority="7114" operator="containsText" id="{CED873A6-5CB9-4126-A3D9-A697A3CF420B}">
            <xm:f>NOT(ISERROR(SEARCH($Q$12,AL312)))</xm:f>
            <xm:f>$Q$12</xm:f>
            <x14:dxf>
              <fill>
                <patternFill>
                  <bgColor rgb="FF00B050"/>
                </patternFill>
              </fill>
            </x14:dxf>
          </x14:cfRule>
          <x14:cfRule type="containsText" priority="7116" operator="containsText" id="{864EF731-0357-4AEB-8B38-23017B7A56F0}">
            <xm:f>NOT(ISERROR(SEARCH($Q$12,AL312)))</xm:f>
            <xm:f>$Q$12</xm:f>
            <x14:dxf>
              <fill>
                <patternFill>
                  <bgColor rgb="FFFFFF00"/>
                </patternFill>
              </fill>
            </x14:dxf>
          </x14:cfRule>
          <x14:cfRule type="containsText" priority="7117" operator="containsText" id="{21F2C912-84A3-448D-B463-6BC9432E816D}">
            <xm:f>NOT(ISERROR(SEARCH($Q$12,AL312)))</xm:f>
            <xm:f>$Q$12</xm:f>
            <x14:dxf>
              <fill>
                <patternFill>
                  <bgColor rgb="FFFFC000"/>
                </patternFill>
              </fill>
            </x14:dxf>
          </x14:cfRule>
          <x14:cfRule type="containsText" priority="7118" operator="containsText" id="{002AD9CD-2FF4-4DE2-B43C-B1A6B32181ED}">
            <xm:f>NOT(ISERROR(SEARCH($Q$12,AL312)))</xm:f>
            <xm:f>$Q$12</xm:f>
            <x14:dxf>
              <fill>
                <patternFill>
                  <bgColor rgb="FFFF0000"/>
                </patternFill>
              </fill>
            </x14:dxf>
          </x14:cfRule>
          <xm:sqref>AL312</xm:sqref>
        </x14:conditionalFormatting>
        <x14:conditionalFormatting xmlns:xm="http://schemas.microsoft.com/office/excel/2006/main">
          <x14:cfRule type="containsText" priority="7015" operator="containsText" id="{F4491FFB-BB31-44F2-AB05-16B137658B1B}">
            <xm:f>NOT(ISERROR(SEARCH($Q$12,AL322)))</xm:f>
            <xm:f>$Q$12</xm:f>
            <x14:dxf>
              <fill>
                <patternFill>
                  <bgColor rgb="FF00B050"/>
                </patternFill>
              </fill>
            </x14:dxf>
          </x14:cfRule>
          <x14:cfRule type="containsText" priority="7013" operator="containsText" id="{780FFDC3-B4E0-4D11-9B7F-6AAED4579FE5}">
            <xm:f>NOT(ISERROR(SEARCH($Q$12,AL322)))</xm:f>
            <xm:f>$Q$12</xm:f>
            <x14:dxf>
              <fill>
                <patternFill>
                  <bgColor theme="9" tint="0.79998168889431442"/>
                </patternFill>
              </fill>
            </x14:dxf>
          </x14:cfRule>
          <x14:cfRule type="containsText" priority="7014" operator="containsText" id="{18C2D81A-5E60-4CD4-99D6-0C736713BB6C}">
            <xm:f>NOT(ISERROR(SEARCH($Q$12,AL322)))</xm:f>
            <xm:f>$Q$12</xm:f>
            <x14:dxf>
              <fill>
                <patternFill>
                  <bgColor theme="9" tint="0.39994506668294322"/>
                </patternFill>
              </fill>
            </x14:dxf>
          </x14:cfRule>
          <x14:cfRule type="containsText" priority="7016" operator="containsText" id="{0541E7B2-7B2C-44D2-BE9A-8E855E13E5D1}">
            <xm:f>NOT(ISERROR(SEARCH($Q$12,AL322)))</xm:f>
            <xm:f>$Q$12</xm:f>
            <x14:dxf>
              <fill>
                <patternFill>
                  <bgColor rgb="FFFFFF00"/>
                </patternFill>
              </fill>
            </x14:dxf>
          </x14:cfRule>
          <x14:cfRule type="containsText" priority="7017" operator="containsText" id="{C02AA4D0-2F9D-48CA-AF46-E3CA9990E860}">
            <xm:f>NOT(ISERROR(SEARCH($Q$12,AL322)))</xm:f>
            <xm:f>$Q$12</xm:f>
            <x14:dxf>
              <fill>
                <patternFill>
                  <bgColor rgb="FFFFC000"/>
                </patternFill>
              </fill>
            </x14:dxf>
          </x14:cfRule>
          <x14:cfRule type="containsText" priority="7018" operator="containsText" id="{AC9DB205-FF99-44D9-A372-1024B81E1C77}">
            <xm:f>NOT(ISERROR(SEARCH($Q$12,AL322)))</xm:f>
            <xm:f>$Q$12</xm:f>
            <x14:dxf>
              <fill>
                <patternFill>
                  <bgColor rgb="FFFF0000"/>
                </patternFill>
              </fill>
            </x14:dxf>
          </x14:cfRule>
          <x14:cfRule type="containsText" priority="7019" operator="containsText" id="{CA5E45AD-F0AC-415F-A46C-22F030C701B9}">
            <xm:f>NOT(ISERROR(SEARCH($Q$12,AL322)))</xm:f>
            <xm:f>$Q$12</xm:f>
            <x14:dxf>
              <fill>
                <patternFill>
                  <bgColor theme="9" tint="0.59996337778862885"/>
                </patternFill>
              </fill>
            </x14:dxf>
          </x14:cfRule>
          <x14:cfRule type="containsText" priority="7020" operator="containsText" id="{46A91834-A7BF-496D-8025-DB3EF020DC86}">
            <xm:f>NOT(ISERROR(SEARCH($Q$12,AL322)))</xm:f>
            <xm:f>$Q$12</xm:f>
            <x14:dxf>
              <fill>
                <patternFill>
                  <bgColor theme="9"/>
                </patternFill>
              </fill>
            </x14:dxf>
          </x14:cfRule>
          <x14:cfRule type="containsText" priority="7021" operator="containsText" id="{1ACC33B1-47F3-41B0-A8D7-32382126D371}">
            <xm:f>NOT(ISERROR(SEARCH($Q$12,AL322)))</xm:f>
            <xm:f>$Q$12</xm:f>
            <x14:dxf>
              <fill>
                <patternFill>
                  <bgColor rgb="FFFFFF00"/>
                </patternFill>
              </fill>
            </x14:dxf>
          </x14:cfRule>
          <x14:cfRule type="containsText" priority="7022" operator="containsText" id="{2F1B21B3-D978-4F08-A4B0-A88F431DA59A}">
            <xm:f>NOT(ISERROR(SEARCH($Q$12,AL322)))</xm:f>
            <xm:f>$Q$12</xm:f>
            <x14:dxf>
              <fill>
                <patternFill>
                  <bgColor rgb="FFFFC000"/>
                </patternFill>
              </fill>
            </x14:dxf>
          </x14:cfRule>
          <x14:cfRule type="containsText" priority="7023" operator="containsText" id="{E059DDB6-D2B7-4BF3-A6BD-C1F36DF62CEE}">
            <xm:f>NOT(ISERROR(SEARCH($Q$12,AL322)))</xm:f>
            <xm:f>$Q$12</xm:f>
            <x14:dxf>
              <fill>
                <patternFill>
                  <bgColor rgb="FFFF0000"/>
                </patternFill>
              </fill>
            </x14:dxf>
          </x14:cfRule>
          <xm:sqref>AL322</xm:sqref>
        </x14:conditionalFormatting>
        <x14:conditionalFormatting xmlns:xm="http://schemas.microsoft.com/office/excel/2006/main">
          <x14:cfRule type="containsText" priority="6815" operator="containsText" id="{71DA0590-7104-4B8B-AE36-2BBE323CA628}">
            <xm:f>NOT(ISERROR(SEARCH($Q$12,AL332)))</xm:f>
            <xm:f>$Q$12</xm:f>
            <x14:dxf>
              <fill>
                <patternFill>
                  <bgColor rgb="FFFF0000"/>
                </patternFill>
              </fill>
            </x14:dxf>
          </x14:cfRule>
          <x14:cfRule type="containsText" priority="6814" operator="containsText" id="{D0C87E17-B775-45E7-868F-3F4DC3F56F80}">
            <xm:f>NOT(ISERROR(SEARCH($Q$12,AL332)))</xm:f>
            <xm:f>$Q$12</xm:f>
            <x14:dxf>
              <fill>
                <patternFill>
                  <bgColor rgb="FFFFC000"/>
                </patternFill>
              </fill>
            </x14:dxf>
          </x14:cfRule>
          <x14:cfRule type="containsText" priority="6812" operator="containsText" id="{960ECADF-75FF-4F26-ABBA-254BA1E6E6E6}">
            <xm:f>NOT(ISERROR(SEARCH($Q$12,AL332)))</xm:f>
            <xm:f>$Q$12</xm:f>
            <x14:dxf>
              <fill>
                <patternFill>
                  <bgColor theme="9"/>
                </patternFill>
              </fill>
            </x14:dxf>
          </x14:cfRule>
          <x14:cfRule type="containsText" priority="6811" operator="containsText" id="{29DA520C-361B-4964-9A5D-BB1526B2BEA2}">
            <xm:f>NOT(ISERROR(SEARCH($Q$12,AL332)))</xm:f>
            <xm:f>$Q$12</xm:f>
            <x14:dxf>
              <fill>
                <patternFill>
                  <bgColor theme="9" tint="0.59996337778862885"/>
                </patternFill>
              </fill>
            </x14:dxf>
          </x14:cfRule>
          <x14:cfRule type="containsText" priority="6810" operator="containsText" id="{64C5B227-8F6E-4040-8AD3-0B9C46C0E97C}">
            <xm:f>NOT(ISERROR(SEARCH($Q$12,AL332)))</xm:f>
            <xm:f>$Q$12</xm:f>
            <x14:dxf>
              <fill>
                <patternFill>
                  <bgColor rgb="FFFF0000"/>
                </patternFill>
              </fill>
            </x14:dxf>
          </x14:cfRule>
          <x14:cfRule type="containsText" priority="6809" operator="containsText" id="{F9313560-DFDC-4AD3-9200-7A30959099A3}">
            <xm:f>NOT(ISERROR(SEARCH($Q$12,AL332)))</xm:f>
            <xm:f>$Q$12</xm:f>
            <x14:dxf>
              <fill>
                <patternFill>
                  <bgColor rgb="FFFFC000"/>
                </patternFill>
              </fill>
            </x14:dxf>
          </x14:cfRule>
          <x14:cfRule type="containsText" priority="6808" operator="containsText" id="{5D76CF4E-72DB-4BF6-85AC-D87692ED4D5A}">
            <xm:f>NOT(ISERROR(SEARCH($Q$12,AL332)))</xm:f>
            <xm:f>$Q$12</xm:f>
            <x14:dxf>
              <fill>
                <patternFill>
                  <bgColor rgb="FFFFFF00"/>
                </patternFill>
              </fill>
            </x14:dxf>
          </x14:cfRule>
          <x14:cfRule type="containsText" priority="6806" operator="containsText" id="{05AA4843-A24E-4E5F-9238-186B9AE567A4}">
            <xm:f>NOT(ISERROR(SEARCH($Q$12,AL332)))</xm:f>
            <xm:f>$Q$12</xm:f>
            <x14:dxf>
              <fill>
                <patternFill>
                  <bgColor rgb="FF00B050"/>
                </patternFill>
              </fill>
            </x14:dxf>
          </x14:cfRule>
          <x14:cfRule type="containsText" priority="6805" operator="containsText" id="{BDEDA081-C033-4417-BE4C-88182A5A2F47}">
            <xm:f>NOT(ISERROR(SEARCH($Q$12,AL332)))</xm:f>
            <xm:f>$Q$12</xm:f>
            <x14:dxf>
              <fill>
                <patternFill>
                  <bgColor theme="9" tint="0.39994506668294322"/>
                </patternFill>
              </fill>
            </x14:dxf>
          </x14:cfRule>
          <x14:cfRule type="containsText" priority="6804" operator="containsText" id="{AB526C62-3509-469D-B98E-2110AAAB9525}">
            <xm:f>NOT(ISERROR(SEARCH($Q$12,AL332)))</xm:f>
            <xm:f>$Q$12</xm:f>
            <x14:dxf>
              <fill>
                <patternFill>
                  <bgColor theme="9" tint="0.79998168889431442"/>
                </patternFill>
              </fill>
            </x14:dxf>
          </x14:cfRule>
          <x14:cfRule type="containsText" priority="6803" operator="containsText" id="{11FB50AB-F201-4F7D-92B3-0E168FF50ECF}">
            <xm:f>NOT(ISERROR(SEARCH($Q$12,AL332)))</xm:f>
            <xm:f>$Q$12</xm:f>
            <x14:dxf>
              <fill>
                <patternFill>
                  <bgColor rgb="FFFFFF00"/>
                </patternFill>
              </fill>
            </x14:dxf>
          </x14:cfRule>
          <xm:sqref>AL332</xm:sqref>
        </x14:conditionalFormatting>
        <x14:conditionalFormatting xmlns:xm="http://schemas.microsoft.com/office/excel/2006/main">
          <x14:cfRule type="containsText" priority="6780" operator="containsText" id="{D268F181-058A-4904-BD4C-E3A289541DA1}">
            <xm:f>NOT(ISERROR(SEARCH($Q$12,AL342)))</xm:f>
            <xm:f>$Q$12</xm:f>
            <x14:dxf>
              <fill>
                <patternFill>
                  <bgColor rgb="FF00B050"/>
                </patternFill>
              </fill>
            </x14:dxf>
          </x14:cfRule>
          <x14:cfRule type="containsText" priority="6782" operator="containsText" id="{E489E9E1-F164-4832-B26A-1DFD434BBF7E}">
            <xm:f>NOT(ISERROR(SEARCH($Q$12,AL342)))</xm:f>
            <xm:f>$Q$12</xm:f>
            <x14:dxf>
              <fill>
                <patternFill>
                  <bgColor rgb="FFFFFF00"/>
                </patternFill>
              </fill>
            </x14:dxf>
          </x14:cfRule>
          <x14:cfRule type="containsText" priority="6784" operator="containsText" id="{BC01C46A-E551-46D6-96DA-CC730E712E2A}">
            <xm:f>NOT(ISERROR(SEARCH($Q$12,AL342)))</xm:f>
            <xm:f>$Q$12</xm:f>
            <x14:dxf>
              <fill>
                <patternFill>
                  <bgColor rgb="FFFF0000"/>
                </patternFill>
              </fill>
            </x14:dxf>
          </x14:cfRule>
          <x14:cfRule type="containsText" priority="6785" operator="containsText" id="{A95BA833-0C40-4D26-B3E6-6A81D232C6F6}">
            <xm:f>NOT(ISERROR(SEARCH($Q$12,AL342)))</xm:f>
            <xm:f>$Q$12</xm:f>
            <x14:dxf>
              <fill>
                <patternFill>
                  <bgColor theme="9" tint="0.59996337778862885"/>
                </patternFill>
              </fill>
            </x14:dxf>
          </x14:cfRule>
          <x14:cfRule type="containsText" priority="6786" operator="containsText" id="{BA316C5D-5D16-4EF5-A08C-2161CE6609AC}">
            <xm:f>NOT(ISERROR(SEARCH($Q$12,AL342)))</xm:f>
            <xm:f>$Q$12</xm:f>
            <x14:dxf>
              <fill>
                <patternFill>
                  <bgColor theme="9"/>
                </patternFill>
              </fill>
            </x14:dxf>
          </x14:cfRule>
          <x14:cfRule type="containsText" priority="6788" operator="containsText" id="{8F3EB602-0B57-4BF6-9EDF-3404952751B9}">
            <xm:f>NOT(ISERROR(SEARCH($Q$12,AL342)))</xm:f>
            <xm:f>$Q$12</xm:f>
            <x14:dxf>
              <fill>
                <patternFill>
                  <bgColor rgb="FFFFC000"/>
                </patternFill>
              </fill>
            </x14:dxf>
          </x14:cfRule>
          <x14:cfRule type="containsText" priority="6789" operator="containsText" id="{F4D2F625-55E1-4B6F-89AC-9BB92E691A64}">
            <xm:f>NOT(ISERROR(SEARCH($Q$12,AL342)))</xm:f>
            <xm:f>$Q$12</xm:f>
            <x14:dxf>
              <fill>
                <patternFill>
                  <bgColor rgb="FFFF0000"/>
                </patternFill>
              </fill>
            </x14:dxf>
          </x14:cfRule>
          <x14:cfRule type="containsText" priority="6777" operator="containsText" id="{AEFE76D4-2F12-480C-A886-FDD6B25AF4F4}">
            <xm:f>NOT(ISERROR(SEARCH($Q$12,AL342)))</xm:f>
            <xm:f>$Q$12</xm:f>
            <x14:dxf>
              <fill>
                <patternFill>
                  <bgColor rgb="FFFFFF00"/>
                </patternFill>
              </fill>
            </x14:dxf>
          </x14:cfRule>
          <x14:cfRule type="containsText" priority="6778" operator="containsText" id="{CEA899A9-4886-4E4F-A6CC-1B2FB103C0B3}">
            <xm:f>NOT(ISERROR(SEARCH($Q$12,AL342)))</xm:f>
            <xm:f>$Q$12</xm:f>
            <x14:dxf>
              <fill>
                <patternFill>
                  <bgColor theme="9" tint="0.79998168889431442"/>
                </patternFill>
              </fill>
            </x14:dxf>
          </x14:cfRule>
          <x14:cfRule type="containsText" priority="6779" operator="containsText" id="{B34557A4-E1DD-4A02-A088-40137FC31BDE}">
            <xm:f>NOT(ISERROR(SEARCH($Q$12,AL342)))</xm:f>
            <xm:f>$Q$12</xm:f>
            <x14:dxf>
              <fill>
                <patternFill>
                  <bgColor theme="9" tint="0.39994506668294322"/>
                </patternFill>
              </fill>
            </x14:dxf>
          </x14:cfRule>
          <x14:cfRule type="containsText" priority="6783" operator="containsText" id="{C60D8C5E-BC37-40B0-A30D-E85CF726A30D}">
            <xm:f>NOT(ISERROR(SEARCH($Q$12,AL342)))</xm:f>
            <xm:f>$Q$12</xm:f>
            <x14:dxf>
              <fill>
                <patternFill>
                  <bgColor rgb="FFFFC000"/>
                </patternFill>
              </fill>
            </x14:dxf>
          </x14:cfRule>
          <xm:sqref>AL342</xm:sqref>
        </x14:conditionalFormatting>
        <x14:conditionalFormatting xmlns:xm="http://schemas.microsoft.com/office/excel/2006/main">
          <x14:cfRule type="containsText" priority="6752" operator="containsText" id="{8E2E1C5C-1E2F-4458-88F2-3AB5145C8ECA}">
            <xm:f>NOT(ISERROR(SEARCH($Q$12,AL352)))</xm:f>
            <xm:f>$Q$12</xm:f>
            <x14:dxf>
              <fill>
                <patternFill>
                  <bgColor theme="9" tint="0.79998168889431442"/>
                </patternFill>
              </fill>
            </x14:dxf>
          </x14:cfRule>
          <x14:cfRule type="containsText" priority="6763" operator="containsText" id="{E0D44677-7ABC-4100-8F71-D9D85CD01CD9}">
            <xm:f>NOT(ISERROR(SEARCH($Q$12,AL352)))</xm:f>
            <xm:f>$Q$12</xm:f>
            <x14:dxf>
              <fill>
                <patternFill>
                  <bgColor rgb="FFFF0000"/>
                </patternFill>
              </fill>
            </x14:dxf>
          </x14:cfRule>
          <x14:cfRule type="containsText" priority="6762" operator="containsText" id="{71E892C2-13F7-4818-B14D-2E33F99C569F}">
            <xm:f>NOT(ISERROR(SEARCH($Q$12,AL352)))</xm:f>
            <xm:f>$Q$12</xm:f>
            <x14:dxf>
              <fill>
                <patternFill>
                  <bgColor rgb="FFFFC000"/>
                </patternFill>
              </fill>
            </x14:dxf>
          </x14:cfRule>
          <x14:cfRule type="containsText" priority="6760" operator="containsText" id="{F45017AF-BCC8-484A-AA44-D57B16BBE250}">
            <xm:f>NOT(ISERROR(SEARCH($Q$12,AL352)))</xm:f>
            <xm:f>$Q$12</xm:f>
            <x14:dxf>
              <fill>
                <patternFill>
                  <bgColor theme="9"/>
                </patternFill>
              </fill>
            </x14:dxf>
          </x14:cfRule>
          <x14:cfRule type="containsText" priority="6759" operator="containsText" id="{247F75D7-A726-4125-9F17-705502728C3F}">
            <xm:f>NOT(ISERROR(SEARCH($Q$12,AL352)))</xm:f>
            <xm:f>$Q$12</xm:f>
            <x14:dxf>
              <fill>
                <patternFill>
                  <bgColor theme="9" tint="0.59996337778862885"/>
                </patternFill>
              </fill>
            </x14:dxf>
          </x14:cfRule>
          <x14:cfRule type="containsText" priority="6758" operator="containsText" id="{C15E3403-AB8D-4014-B0D7-B3C524603308}">
            <xm:f>NOT(ISERROR(SEARCH($Q$12,AL352)))</xm:f>
            <xm:f>$Q$12</xm:f>
            <x14:dxf>
              <fill>
                <patternFill>
                  <bgColor rgb="FFFF0000"/>
                </patternFill>
              </fill>
            </x14:dxf>
          </x14:cfRule>
          <x14:cfRule type="containsText" priority="6757" operator="containsText" id="{C19A18E2-C4B4-43B5-A220-A3C9ED485DF6}">
            <xm:f>NOT(ISERROR(SEARCH($Q$12,AL352)))</xm:f>
            <xm:f>$Q$12</xm:f>
            <x14:dxf>
              <fill>
                <patternFill>
                  <bgColor rgb="FFFFC000"/>
                </patternFill>
              </fill>
            </x14:dxf>
          </x14:cfRule>
          <x14:cfRule type="containsText" priority="6756" operator="containsText" id="{8EF5F4E6-CA70-4036-8BBD-7572469A89DB}">
            <xm:f>NOT(ISERROR(SEARCH($Q$12,AL352)))</xm:f>
            <xm:f>$Q$12</xm:f>
            <x14:dxf>
              <fill>
                <patternFill>
                  <bgColor rgb="FFFFFF00"/>
                </patternFill>
              </fill>
            </x14:dxf>
          </x14:cfRule>
          <x14:cfRule type="containsText" priority="6754" operator="containsText" id="{A54E28B3-A74E-455B-B992-50D69D8F92B4}">
            <xm:f>NOT(ISERROR(SEARCH($Q$12,AL352)))</xm:f>
            <xm:f>$Q$12</xm:f>
            <x14:dxf>
              <fill>
                <patternFill>
                  <bgColor rgb="FF00B050"/>
                </patternFill>
              </fill>
            </x14:dxf>
          </x14:cfRule>
          <x14:cfRule type="containsText" priority="6753" operator="containsText" id="{2A1BCDA0-4450-46AC-86C5-CE47D098DBF9}">
            <xm:f>NOT(ISERROR(SEARCH($Q$12,AL352)))</xm:f>
            <xm:f>$Q$12</xm:f>
            <x14:dxf>
              <fill>
                <patternFill>
                  <bgColor theme="9" tint="0.39994506668294322"/>
                </patternFill>
              </fill>
            </x14:dxf>
          </x14:cfRule>
          <x14:cfRule type="containsText" priority="6751" operator="containsText" id="{B05C14AD-CE7C-496C-8644-7D3A318C7303}">
            <xm:f>NOT(ISERROR(SEARCH($Q$12,AL352)))</xm:f>
            <xm:f>$Q$12</xm:f>
            <x14:dxf>
              <fill>
                <patternFill>
                  <bgColor rgb="FFFFFF00"/>
                </patternFill>
              </fill>
            </x14:dxf>
          </x14:cfRule>
          <xm:sqref>AL352</xm:sqref>
        </x14:conditionalFormatting>
        <x14:conditionalFormatting xmlns:xm="http://schemas.microsoft.com/office/excel/2006/main">
          <x14:cfRule type="containsText" priority="6624" operator="containsText" id="{16B92A7A-5F81-48B7-B0A6-48B86D43C591}">
            <xm:f>NOT(ISERROR(SEARCH($Q$12,AL362)))</xm:f>
            <xm:f>$Q$12</xm:f>
            <x14:dxf>
              <fill>
                <patternFill>
                  <bgColor rgb="FFFFC000"/>
                </patternFill>
              </fill>
            </x14:dxf>
          </x14:cfRule>
          <x14:cfRule type="containsText" priority="6625" operator="containsText" id="{775713DB-9F85-454A-9A62-F98A4501768C}">
            <xm:f>NOT(ISERROR(SEARCH($Q$12,AL362)))</xm:f>
            <xm:f>$Q$12</xm:f>
            <x14:dxf>
              <fill>
                <patternFill>
                  <bgColor rgb="FFFF0000"/>
                </patternFill>
              </fill>
            </x14:dxf>
          </x14:cfRule>
          <x14:cfRule type="containsText" priority="6623" operator="containsText" id="{B8717FFA-1208-4572-B2E0-FF4E7AD06AC8}">
            <xm:f>NOT(ISERROR(SEARCH($Q$12,AL362)))</xm:f>
            <xm:f>$Q$12</xm:f>
            <x14:dxf>
              <fill>
                <patternFill>
                  <bgColor rgb="FFFFFF00"/>
                </patternFill>
              </fill>
            </x14:dxf>
          </x14:cfRule>
          <x14:cfRule type="containsText" priority="6622" operator="containsText" id="{8CCF81FA-C0B1-439B-A709-DAF2B21C363F}">
            <xm:f>NOT(ISERROR(SEARCH($Q$12,AL362)))</xm:f>
            <xm:f>$Q$12</xm:f>
            <x14:dxf>
              <fill>
                <patternFill>
                  <bgColor theme="9"/>
                </patternFill>
              </fill>
            </x14:dxf>
          </x14:cfRule>
          <x14:cfRule type="containsText" priority="6621" operator="containsText" id="{C1840FDF-10D2-4DB4-B4CD-3C4B1E98D937}">
            <xm:f>NOT(ISERROR(SEARCH($Q$12,AL362)))</xm:f>
            <xm:f>$Q$12</xm:f>
            <x14:dxf>
              <fill>
                <patternFill>
                  <bgColor theme="9" tint="0.59996337778862885"/>
                </patternFill>
              </fill>
            </x14:dxf>
          </x14:cfRule>
          <x14:cfRule type="containsText" priority="6620" operator="containsText" id="{9E15777D-2934-489D-9814-F2EB9C871392}">
            <xm:f>NOT(ISERROR(SEARCH($Q$12,AL362)))</xm:f>
            <xm:f>$Q$12</xm:f>
            <x14:dxf>
              <fill>
                <patternFill>
                  <bgColor rgb="FFFF0000"/>
                </patternFill>
              </fill>
            </x14:dxf>
          </x14:cfRule>
          <x14:cfRule type="containsText" priority="6619" operator="containsText" id="{A504A71C-C52C-4654-9CA1-FB89CE5B202E}">
            <xm:f>NOT(ISERROR(SEARCH($Q$12,AL362)))</xm:f>
            <xm:f>$Q$12</xm:f>
            <x14:dxf>
              <fill>
                <patternFill>
                  <bgColor rgb="FFFFC000"/>
                </patternFill>
              </fill>
            </x14:dxf>
          </x14:cfRule>
          <x14:cfRule type="containsText" priority="6618" operator="containsText" id="{F6C3C8F6-5543-4583-8174-484F67999FAD}">
            <xm:f>NOT(ISERROR(SEARCH($Q$12,AL362)))</xm:f>
            <xm:f>$Q$12</xm:f>
            <x14:dxf>
              <fill>
                <patternFill>
                  <bgColor rgb="FFFFFF00"/>
                </patternFill>
              </fill>
            </x14:dxf>
          </x14:cfRule>
          <x14:cfRule type="containsText" priority="6617" operator="containsText" id="{6E978845-8E2F-4D59-9D9E-06D74FD1FF8E}">
            <xm:f>NOT(ISERROR(SEARCH($Q$12,AL362)))</xm:f>
            <xm:f>$Q$12</xm:f>
            <x14:dxf>
              <fill>
                <patternFill>
                  <bgColor rgb="FF00B050"/>
                </patternFill>
              </fill>
            </x14:dxf>
          </x14:cfRule>
          <x14:cfRule type="containsText" priority="6616" operator="containsText" id="{A0565E95-3F21-4902-96B4-FA6CD598D117}">
            <xm:f>NOT(ISERROR(SEARCH($Q$12,AL362)))</xm:f>
            <xm:f>$Q$12</xm:f>
            <x14:dxf>
              <fill>
                <patternFill>
                  <bgColor theme="9" tint="0.39994506668294322"/>
                </patternFill>
              </fill>
            </x14:dxf>
          </x14:cfRule>
          <x14:cfRule type="containsText" priority="6615" operator="containsText" id="{3CD2D6DC-9F2A-4CFC-B0DB-BE95270A33EE}">
            <xm:f>NOT(ISERROR(SEARCH($Q$12,AL362)))</xm:f>
            <xm:f>$Q$12</xm:f>
            <x14:dxf>
              <fill>
                <patternFill>
                  <bgColor theme="9" tint="0.79998168889431442"/>
                </patternFill>
              </fill>
            </x14:dxf>
          </x14:cfRule>
          <xm:sqref>AL362</xm:sqref>
        </x14:conditionalFormatting>
        <x14:conditionalFormatting xmlns:xm="http://schemas.microsoft.com/office/excel/2006/main">
          <x14:cfRule type="containsText" priority="6410" operator="containsText" id="{B56D1EE6-BEE0-44F4-B90D-2A6EA03C647C}">
            <xm:f>NOT(ISERROR(SEARCH($Q$12,AL372)))</xm:f>
            <xm:f>$Q$12</xm:f>
            <x14:dxf>
              <fill>
                <patternFill>
                  <bgColor rgb="FFFFFF00"/>
                </patternFill>
              </fill>
            </x14:dxf>
          </x14:cfRule>
          <x14:cfRule type="containsText" priority="6411" operator="containsText" id="{4D045662-8D5A-4B7C-A523-1BA6D91246AB}">
            <xm:f>NOT(ISERROR(SEARCH($Q$12,AL372)))</xm:f>
            <xm:f>$Q$12</xm:f>
            <x14:dxf>
              <fill>
                <patternFill>
                  <bgColor rgb="FFFFC000"/>
                </patternFill>
              </fill>
            </x14:dxf>
          </x14:cfRule>
          <x14:cfRule type="containsText" priority="6412" operator="containsText" id="{C8331B92-E480-4183-BE70-7534B384E1F6}">
            <xm:f>NOT(ISERROR(SEARCH($Q$12,AL372)))</xm:f>
            <xm:f>$Q$12</xm:f>
            <x14:dxf>
              <fill>
                <patternFill>
                  <bgColor rgb="FFFF0000"/>
                </patternFill>
              </fill>
            </x14:dxf>
          </x14:cfRule>
          <x14:cfRule type="containsText" priority="6413" operator="containsText" id="{F6CFFC47-AEA4-41C3-AA64-D6402B8DFB15}">
            <xm:f>NOT(ISERROR(SEARCH($Q$12,AL372)))</xm:f>
            <xm:f>$Q$12</xm:f>
            <x14:dxf>
              <fill>
                <patternFill>
                  <bgColor theme="9" tint="0.59996337778862885"/>
                </patternFill>
              </fill>
            </x14:dxf>
          </x14:cfRule>
          <x14:cfRule type="containsText" priority="6414" operator="containsText" id="{A3C550AB-AB84-4D68-BC9E-80B53ABE97E9}">
            <xm:f>NOT(ISERROR(SEARCH($Q$12,AL372)))</xm:f>
            <xm:f>$Q$12</xm:f>
            <x14:dxf>
              <fill>
                <patternFill>
                  <bgColor theme="9"/>
                </patternFill>
              </fill>
            </x14:dxf>
          </x14:cfRule>
          <x14:cfRule type="containsText" priority="6416" operator="containsText" id="{6DA0C61B-1757-4075-BAF4-EFB35D9CBCAA}">
            <xm:f>NOT(ISERROR(SEARCH($Q$12,AL372)))</xm:f>
            <xm:f>$Q$12</xm:f>
            <x14:dxf>
              <fill>
                <patternFill>
                  <bgColor rgb="FFFFC000"/>
                </patternFill>
              </fill>
            </x14:dxf>
          </x14:cfRule>
          <x14:cfRule type="containsText" priority="6417" operator="containsText" id="{4278946F-ABDD-4D57-AEB0-5EA317D46289}">
            <xm:f>NOT(ISERROR(SEARCH($Q$12,AL372)))</xm:f>
            <xm:f>$Q$12</xm:f>
            <x14:dxf>
              <fill>
                <patternFill>
                  <bgColor rgb="FFFF0000"/>
                </patternFill>
              </fill>
            </x14:dxf>
          </x14:cfRule>
          <x14:cfRule type="containsText" priority="6406" operator="containsText" id="{965D4F76-1EAA-428E-889F-FF15CF37ABF0}">
            <xm:f>NOT(ISERROR(SEARCH($Q$12,AL372)))</xm:f>
            <xm:f>$Q$12</xm:f>
            <x14:dxf>
              <fill>
                <patternFill>
                  <bgColor theme="9" tint="0.79998168889431442"/>
                </patternFill>
              </fill>
            </x14:dxf>
          </x14:cfRule>
          <x14:cfRule type="containsText" priority="6405" operator="containsText" id="{529BD411-E928-44A0-80BC-2C9AD755AD8A}">
            <xm:f>NOT(ISERROR(SEARCH($Q$12,AL372)))</xm:f>
            <xm:f>$Q$12</xm:f>
            <x14:dxf>
              <fill>
                <patternFill>
                  <bgColor rgb="FFFFFF00"/>
                </patternFill>
              </fill>
            </x14:dxf>
          </x14:cfRule>
          <x14:cfRule type="containsText" priority="6408" operator="containsText" id="{024FCDDD-0340-4452-819C-4681127BA63D}">
            <xm:f>NOT(ISERROR(SEARCH($Q$12,AL372)))</xm:f>
            <xm:f>$Q$12</xm:f>
            <x14:dxf>
              <fill>
                <patternFill>
                  <bgColor rgb="FF00B050"/>
                </patternFill>
              </fill>
            </x14:dxf>
          </x14:cfRule>
          <x14:cfRule type="containsText" priority="6407" operator="containsText" id="{D497CCBB-04E8-48F6-8197-3675AD5DC43A}">
            <xm:f>NOT(ISERROR(SEARCH($Q$12,AL372)))</xm:f>
            <xm:f>$Q$12</xm:f>
            <x14:dxf>
              <fill>
                <patternFill>
                  <bgColor theme="9" tint="0.39994506668294322"/>
                </patternFill>
              </fill>
            </x14:dxf>
          </x14:cfRule>
          <xm:sqref>AL372</xm:sqref>
        </x14:conditionalFormatting>
        <x14:conditionalFormatting xmlns:xm="http://schemas.microsoft.com/office/excel/2006/main">
          <x14:cfRule type="containsText" priority="6385" operator="containsText" id="{9B7E9908-0647-406D-9A27-0D9FE23A5B41}">
            <xm:f>NOT(ISERROR(SEARCH($Q$12,AL382)))</xm:f>
            <xm:f>$Q$12</xm:f>
            <x14:dxf>
              <fill>
                <patternFill>
                  <bgColor rgb="FFFFC000"/>
                </patternFill>
              </fill>
            </x14:dxf>
          </x14:cfRule>
          <x14:cfRule type="containsText" priority="6386" operator="containsText" id="{18EE0EEB-A0D2-420C-9731-B9CCFCA6F9B3}">
            <xm:f>NOT(ISERROR(SEARCH($Q$12,AL382)))</xm:f>
            <xm:f>$Q$12</xm:f>
            <x14:dxf>
              <fill>
                <patternFill>
                  <bgColor rgb="FFFF0000"/>
                </patternFill>
              </fill>
            </x14:dxf>
          </x14:cfRule>
          <x14:cfRule type="containsText" priority="6387" operator="containsText" id="{3DA262F3-517F-4E78-B0DC-5A495150AEC5}">
            <xm:f>NOT(ISERROR(SEARCH($Q$12,AL382)))</xm:f>
            <xm:f>$Q$12</xm:f>
            <x14:dxf>
              <fill>
                <patternFill>
                  <bgColor theme="9" tint="0.59996337778862885"/>
                </patternFill>
              </fill>
            </x14:dxf>
          </x14:cfRule>
          <x14:cfRule type="containsText" priority="6388" operator="containsText" id="{AB6AF802-DB52-43AA-9DFA-AC7877751942}">
            <xm:f>NOT(ISERROR(SEARCH($Q$12,AL382)))</xm:f>
            <xm:f>$Q$12</xm:f>
            <x14:dxf>
              <fill>
                <patternFill>
                  <bgColor theme="9"/>
                </patternFill>
              </fill>
            </x14:dxf>
          </x14:cfRule>
          <x14:cfRule type="containsText" priority="6390" operator="containsText" id="{A4A8AE92-41BF-4CAF-B782-026FD75CBFD1}">
            <xm:f>NOT(ISERROR(SEARCH($Q$12,AL382)))</xm:f>
            <xm:f>$Q$12</xm:f>
            <x14:dxf>
              <fill>
                <patternFill>
                  <bgColor rgb="FFFFC000"/>
                </patternFill>
              </fill>
            </x14:dxf>
          </x14:cfRule>
          <x14:cfRule type="containsText" priority="6382" operator="containsText" id="{33F3D7CD-CCDA-434D-8C39-0CE132C4C7BB}">
            <xm:f>NOT(ISERROR(SEARCH($Q$12,AL382)))</xm:f>
            <xm:f>$Q$12</xm:f>
            <x14:dxf>
              <fill>
                <patternFill>
                  <bgColor rgb="FF00B050"/>
                </patternFill>
              </fill>
            </x14:dxf>
          </x14:cfRule>
          <x14:cfRule type="containsText" priority="6384" operator="containsText" id="{DDC0C248-7909-45A9-84B5-D79A6B558BE5}">
            <xm:f>NOT(ISERROR(SEARCH($Q$12,AL382)))</xm:f>
            <xm:f>$Q$12</xm:f>
            <x14:dxf>
              <fill>
                <patternFill>
                  <bgColor rgb="FFFFFF00"/>
                </patternFill>
              </fill>
            </x14:dxf>
          </x14:cfRule>
          <x14:cfRule type="containsText" priority="6379" operator="containsText" id="{1CFDBCAC-B938-4231-AE29-65DFBDB3D365}">
            <xm:f>NOT(ISERROR(SEARCH($Q$12,AL382)))</xm:f>
            <xm:f>$Q$12</xm:f>
            <x14:dxf>
              <fill>
                <patternFill>
                  <bgColor rgb="FFFFFF00"/>
                </patternFill>
              </fill>
            </x14:dxf>
          </x14:cfRule>
          <x14:cfRule type="containsText" priority="6380" operator="containsText" id="{B4185917-592D-43BC-9BB5-C31BDE9823C8}">
            <xm:f>NOT(ISERROR(SEARCH($Q$12,AL382)))</xm:f>
            <xm:f>$Q$12</xm:f>
            <x14:dxf>
              <fill>
                <patternFill>
                  <bgColor theme="9" tint="0.79998168889431442"/>
                </patternFill>
              </fill>
            </x14:dxf>
          </x14:cfRule>
          <x14:cfRule type="containsText" priority="6391" operator="containsText" id="{A4A108FE-8933-4772-A7BC-E02FB78C42D4}">
            <xm:f>NOT(ISERROR(SEARCH($Q$12,AL382)))</xm:f>
            <xm:f>$Q$12</xm:f>
            <x14:dxf>
              <fill>
                <patternFill>
                  <bgColor rgb="FFFF0000"/>
                </patternFill>
              </fill>
            </x14:dxf>
          </x14:cfRule>
          <x14:cfRule type="containsText" priority="6381" operator="containsText" id="{DA161027-653A-415F-84DB-54383CBBBB0B}">
            <xm:f>NOT(ISERROR(SEARCH($Q$12,AL382)))</xm:f>
            <xm:f>$Q$12</xm:f>
            <x14:dxf>
              <fill>
                <patternFill>
                  <bgColor theme="9" tint="0.39994506668294322"/>
                </patternFill>
              </fill>
            </x14:dxf>
          </x14:cfRule>
          <xm:sqref>AL382</xm:sqref>
        </x14:conditionalFormatting>
        <x14:conditionalFormatting xmlns:xm="http://schemas.microsoft.com/office/excel/2006/main">
          <x14:cfRule type="containsText" priority="6358" operator="containsText" id="{42E145F4-099C-47DE-9B59-EF129DCD1CE8}">
            <xm:f>NOT(ISERROR(SEARCH($Q$12,AL392)))</xm:f>
            <xm:f>$Q$12</xm:f>
            <x14:dxf>
              <fill>
                <patternFill>
                  <bgColor rgb="FFFFFF00"/>
                </patternFill>
              </fill>
            </x14:dxf>
          </x14:cfRule>
          <x14:cfRule type="containsText" priority="6365" operator="containsText" id="{B73626B6-2E83-46E1-AB74-5E839AF9F47A}">
            <xm:f>NOT(ISERROR(SEARCH($Q$12,AL392)))</xm:f>
            <xm:f>$Q$12</xm:f>
            <x14:dxf>
              <fill>
                <patternFill>
                  <bgColor rgb="FFFF0000"/>
                </patternFill>
              </fill>
            </x14:dxf>
          </x14:cfRule>
          <x14:cfRule type="containsText" priority="6364" operator="containsText" id="{FAB43239-3BAB-4031-A7F0-F2B4B39DA0EE}">
            <xm:f>NOT(ISERROR(SEARCH($Q$12,AL392)))</xm:f>
            <xm:f>$Q$12</xm:f>
            <x14:dxf>
              <fill>
                <patternFill>
                  <bgColor rgb="FFFFC000"/>
                </patternFill>
              </fill>
            </x14:dxf>
          </x14:cfRule>
          <x14:cfRule type="containsText" priority="6362" operator="containsText" id="{7ACCB9EA-8DCF-4A01-B512-E541538A8607}">
            <xm:f>NOT(ISERROR(SEARCH($Q$12,AL392)))</xm:f>
            <xm:f>$Q$12</xm:f>
            <x14:dxf>
              <fill>
                <patternFill>
                  <bgColor theme="9"/>
                </patternFill>
              </fill>
            </x14:dxf>
          </x14:cfRule>
          <x14:cfRule type="containsText" priority="6361" operator="containsText" id="{CB39E9F6-7DEE-490C-B607-0B06FEB5BD76}">
            <xm:f>NOT(ISERROR(SEARCH($Q$12,AL392)))</xm:f>
            <xm:f>$Q$12</xm:f>
            <x14:dxf>
              <fill>
                <patternFill>
                  <bgColor theme="9" tint="0.59996337778862885"/>
                </patternFill>
              </fill>
            </x14:dxf>
          </x14:cfRule>
          <x14:cfRule type="containsText" priority="6360" operator="containsText" id="{F681BC0B-2A06-497D-86CF-CAAB809298D4}">
            <xm:f>NOT(ISERROR(SEARCH($Q$12,AL392)))</xm:f>
            <xm:f>$Q$12</xm:f>
            <x14:dxf>
              <fill>
                <patternFill>
                  <bgColor rgb="FFFF0000"/>
                </patternFill>
              </fill>
            </x14:dxf>
          </x14:cfRule>
          <x14:cfRule type="containsText" priority="6353" operator="containsText" id="{C1DB1D84-369A-48BB-947C-3D3090A89DA5}">
            <xm:f>NOT(ISERROR(SEARCH($Q$12,AL392)))</xm:f>
            <xm:f>$Q$12</xm:f>
            <x14:dxf>
              <fill>
                <patternFill>
                  <bgColor rgb="FFFFFF00"/>
                </patternFill>
              </fill>
            </x14:dxf>
          </x14:cfRule>
          <x14:cfRule type="containsText" priority="6354" operator="containsText" id="{B8C124F1-AF4E-4F04-88F9-F74068C0AAF1}">
            <xm:f>NOT(ISERROR(SEARCH($Q$12,AL392)))</xm:f>
            <xm:f>$Q$12</xm:f>
            <x14:dxf>
              <fill>
                <patternFill>
                  <bgColor theme="9" tint="0.79998168889431442"/>
                </patternFill>
              </fill>
            </x14:dxf>
          </x14:cfRule>
          <x14:cfRule type="containsText" priority="6355" operator="containsText" id="{999303A7-5C45-444B-B345-A4B98B70C59F}">
            <xm:f>NOT(ISERROR(SEARCH($Q$12,AL392)))</xm:f>
            <xm:f>$Q$12</xm:f>
            <x14:dxf>
              <fill>
                <patternFill>
                  <bgColor theme="9" tint="0.39994506668294322"/>
                </patternFill>
              </fill>
            </x14:dxf>
          </x14:cfRule>
          <x14:cfRule type="containsText" priority="6356" operator="containsText" id="{15CF7811-1066-4752-9B9B-E550B8F63A63}">
            <xm:f>NOT(ISERROR(SEARCH($Q$12,AL392)))</xm:f>
            <xm:f>$Q$12</xm:f>
            <x14:dxf>
              <fill>
                <patternFill>
                  <bgColor rgb="FF00B050"/>
                </patternFill>
              </fill>
            </x14:dxf>
          </x14:cfRule>
          <x14:cfRule type="containsText" priority="6359" operator="containsText" id="{1A37EC53-0E8E-40AD-81DA-3F0D407F5C8C}">
            <xm:f>NOT(ISERROR(SEARCH($Q$12,AL392)))</xm:f>
            <xm:f>$Q$12</xm:f>
            <x14:dxf>
              <fill>
                <patternFill>
                  <bgColor rgb="FFFFC000"/>
                </patternFill>
              </fill>
            </x14:dxf>
          </x14:cfRule>
          <xm:sqref>AL392</xm:sqref>
        </x14:conditionalFormatting>
        <x14:conditionalFormatting xmlns:xm="http://schemas.microsoft.com/office/excel/2006/main">
          <x14:cfRule type="containsText" priority="6220" operator="containsText" id="{DAA51C92-0256-406C-9CF9-3A259FFF41A2}">
            <xm:f>NOT(ISERROR(SEARCH($Q$12,AL402)))</xm:f>
            <xm:f>$Q$12</xm:f>
            <x14:dxf>
              <fill>
                <patternFill>
                  <bgColor rgb="FFFFFF00"/>
                </patternFill>
              </fill>
            </x14:dxf>
          </x14:cfRule>
          <x14:cfRule type="containsText" priority="6221" operator="containsText" id="{1B9F1797-4623-43D5-BFA9-6FA72339A613}">
            <xm:f>NOT(ISERROR(SEARCH($Q$12,AL402)))</xm:f>
            <xm:f>$Q$12</xm:f>
            <x14:dxf>
              <fill>
                <patternFill>
                  <bgColor rgb="FFFFC000"/>
                </patternFill>
              </fill>
            </x14:dxf>
          </x14:cfRule>
          <x14:cfRule type="containsText" priority="6222" operator="containsText" id="{D71F6BD4-15FB-4AF7-9DC7-CF8FFB77D71B}">
            <xm:f>NOT(ISERROR(SEARCH($Q$12,AL402)))</xm:f>
            <xm:f>$Q$12</xm:f>
            <x14:dxf>
              <fill>
                <patternFill>
                  <bgColor rgb="FFFF0000"/>
                </patternFill>
              </fill>
            </x14:dxf>
          </x14:cfRule>
          <x14:cfRule type="containsText" priority="6223" operator="containsText" id="{346010FF-3EE6-495E-8396-A5CC63F407F2}">
            <xm:f>NOT(ISERROR(SEARCH($Q$12,AL402)))</xm:f>
            <xm:f>$Q$12</xm:f>
            <x14:dxf>
              <fill>
                <patternFill>
                  <bgColor theme="9" tint="0.59996337778862885"/>
                </patternFill>
              </fill>
            </x14:dxf>
          </x14:cfRule>
          <x14:cfRule type="containsText" priority="6224" operator="containsText" id="{60A24F7A-CFC1-465E-9755-9C257DB0F6EC}">
            <xm:f>NOT(ISERROR(SEARCH($Q$12,AL402)))</xm:f>
            <xm:f>$Q$12</xm:f>
            <x14:dxf>
              <fill>
                <patternFill>
                  <bgColor theme="9"/>
                </patternFill>
              </fill>
            </x14:dxf>
          </x14:cfRule>
          <x14:cfRule type="containsText" priority="6225" operator="containsText" id="{6ADB6757-6056-4427-8FD4-3CFEF8515710}">
            <xm:f>NOT(ISERROR(SEARCH($Q$12,AL402)))</xm:f>
            <xm:f>$Q$12</xm:f>
            <x14:dxf>
              <fill>
                <patternFill>
                  <bgColor rgb="FFFFFF00"/>
                </patternFill>
              </fill>
            </x14:dxf>
          </x14:cfRule>
          <x14:cfRule type="containsText" priority="6226" operator="containsText" id="{6C444F4A-3C83-48E1-B0F8-B800954B2FC7}">
            <xm:f>NOT(ISERROR(SEARCH($Q$12,AL402)))</xm:f>
            <xm:f>$Q$12</xm:f>
            <x14:dxf>
              <fill>
                <patternFill>
                  <bgColor rgb="FFFFC000"/>
                </patternFill>
              </fill>
            </x14:dxf>
          </x14:cfRule>
          <x14:cfRule type="containsText" priority="6227" operator="containsText" id="{34258544-3597-4B15-ACEE-BDE411998629}">
            <xm:f>NOT(ISERROR(SEARCH($Q$12,AL402)))</xm:f>
            <xm:f>$Q$12</xm:f>
            <x14:dxf>
              <fill>
                <patternFill>
                  <bgColor rgb="FFFF0000"/>
                </patternFill>
              </fill>
            </x14:dxf>
          </x14:cfRule>
          <x14:cfRule type="containsText" priority="6217" operator="containsText" id="{17E331C8-D3A9-4961-8FC7-7E2E16F889CB}">
            <xm:f>NOT(ISERROR(SEARCH($Q$12,AL402)))</xm:f>
            <xm:f>$Q$12</xm:f>
            <x14:dxf>
              <fill>
                <patternFill>
                  <bgColor theme="9" tint="0.79998168889431442"/>
                </patternFill>
              </fill>
            </x14:dxf>
          </x14:cfRule>
          <x14:cfRule type="containsText" priority="6218" operator="containsText" id="{C00FD673-B08D-4582-8776-7BF73E2CF53E}">
            <xm:f>NOT(ISERROR(SEARCH($Q$12,AL402)))</xm:f>
            <xm:f>$Q$12</xm:f>
            <x14:dxf>
              <fill>
                <patternFill>
                  <bgColor theme="9" tint="0.39994506668294322"/>
                </patternFill>
              </fill>
            </x14:dxf>
          </x14:cfRule>
          <x14:cfRule type="containsText" priority="6219" operator="containsText" id="{0B8DFE07-D035-427A-9295-BF5DB99FFA9B}">
            <xm:f>NOT(ISERROR(SEARCH($Q$12,AL402)))</xm:f>
            <xm:f>$Q$12</xm:f>
            <x14:dxf>
              <fill>
                <patternFill>
                  <bgColor rgb="FF00B050"/>
                </patternFill>
              </fill>
            </x14:dxf>
          </x14:cfRule>
          <xm:sqref>AL402</xm:sqref>
        </x14:conditionalFormatting>
        <x14:conditionalFormatting xmlns:xm="http://schemas.microsoft.com/office/excel/2006/main">
          <x14:cfRule type="containsText" priority="6142" operator="containsText" id="{41DF20A5-FE96-4459-9B5C-EAE5EC80BCF7}">
            <xm:f>NOT(ISERROR(SEARCH($Q$12,AL412)))</xm:f>
            <xm:f>$Q$12</xm:f>
            <x14:dxf>
              <fill>
                <patternFill>
                  <bgColor rgb="FFFF0000"/>
                </patternFill>
              </fill>
            </x14:dxf>
          </x14:cfRule>
          <x14:cfRule type="containsText" priority="6144" operator="containsText" id="{E87E8475-E624-4468-982B-4634BDDC6CE6}">
            <xm:f>NOT(ISERROR(SEARCH($Q$12,AL412)))</xm:f>
            <xm:f>$Q$12</xm:f>
            <x14:dxf>
              <fill>
                <patternFill>
                  <bgColor theme="9"/>
                </patternFill>
              </fill>
            </x14:dxf>
          </x14:cfRule>
          <x14:cfRule type="containsText" priority="6146" operator="containsText" id="{1600678E-5A9F-4232-BA73-680A5741B10B}">
            <xm:f>NOT(ISERROR(SEARCH($Q$12,AL412)))</xm:f>
            <xm:f>$Q$12</xm:f>
            <x14:dxf>
              <fill>
                <patternFill>
                  <bgColor rgb="FFFFC000"/>
                </patternFill>
              </fill>
            </x14:dxf>
          </x14:cfRule>
          <x14:cfRule type="containsText" priority="6147" operator="containsText" id="{6B64CDBA-F469-42C6-BF58-2933A74EE1F0}">
            <xm:f>NOT(ISERROR(SEARCH($Q$12,AL412)))</xm:f>
            <xm:f>$Q$12</xm:f>
            <x14:dxf>
              <fill>
                <patternFill>
                  <bgColor rgb="FFFF0000"/>
                </patternFill>
              </fill>
            </x14:dxf>
          </x14:cfRule>
          <x14:cfRule type="containsText" priority="6140" operator="containsText" id="{CEFE3089-3567-4E19-B0FC-00F976A73A10}">
            <xm:f>NOT(ISERROR(SEARCH($Q$12,AL412)))</xm:f>
            <xm:f>$Q$12</xm:f>
            <x14:dxf>
              <fill>
                <patternFill>
                  <bgColor rgb="FFFFFF00"/>
                </patternFill>
              </fill>
            </x14:dxf>
          </x14:cfRule>
          <x14:cfRule type="containsText" priority="6135" operator="containsText" id="{2E45E043-F916-42E2-A087-7E726246A8B1}">
            <xm:f>NOT(ISERROR(SEARCH($Q$12,AL412)))</xm:f>
            <xm:f>$Q$12</xm:f>
            <x14:dxf>
              <fill>
                <patternFill>
                  <bgColor rgb="FFFFFF00"/>
                </patternFill>
              </fill>
            </x14:dxf>
          </x14:cfRule>
          <x14:cfRule type="containsText" priority="6136" operator="containsText" id="{F0490902-8ED4-48C3-9697-7C7AE3E13609}">
            <xm:f>NOT(ISERROR(SEARCH($Q$12,AL412)))</xm:f>
            <xm:f>$Q$12</xm:f>
            <x14:dxf>
              <fill>
                <patternFill>
                  <bgColor theme="9" tint="0.79998168889431442"/>
                </patternFill>
              </fill>
            </x14:dxf>
          </x14:cfRule>
          <x14:cfRule type="containsText" priority="6137" operator="containsText" id="{B51678B6-7414-4168-9423-398626D737C4}">
            <xm:f>NOT(ISERROR(SEARCH($Q$12,AL412)))</xm:f>
            <xm:f>$Q$12</xm:f>
            <x14:dxf>
              <fill>
                <patternFill>
                  <bgColor theme="9" tint="0.39994506668294322"/>
                </patternFill>
              </fill>
            </x14:dxf>
          </x14:cfRule>
          <x14:cfRule type="containsText" priority="6138" operator="containsText" id="{7D660843-8E04-4847-B5FE-30506E7E1FA2}">
            <xm:f>NOT(ISERROR(SEARCH($Q$12,AL412)))</xm:f>
            <xm:f>$Q$12</xm:f>
            <x14:dxf>
              <fill>
                <patternFill>
                  <bgColor rgb="FF00B050"/>
                </patternFill>
              </fill>
            </x14:dxf>
          </x14:cfRule>
          <x14:cfRule type="containsText" priority="6141" operator="containsText" id="{60FD56E2-0AEF-4747-9D8F-B5A7F2132571}">
            <xm:f>NOT(ISERROR(SEARCH($Q$12,AL412)))</xm:f>
            <xm:f>$Q$12</xm:f>
            <x14:dxf>
              <fill>
                <patternFill>
                  <bgColor rgb="FFFFC000"/>
                </patternFill>
              </fill>
            </x14:dxf>
          </x14:cfRule>
          <x14:cfRule type="containsText" priority="6143" operator="containsText" id="{9A0C9BD0-E3C5-49F9-B0EF-1907B60B7B15}">
            <xm:f>NOT(ISERROR(SEARCH($Q$12,AL412)))</xm:f>
            <xm:f>$Q$12</xm:f>
            <x14:dxf>
              <fill>
                <patternFill>
                  <bgColor theme="9" tint="0.59996337778862885"/>
                </patternFill>
              </fill>
            </x14:dxf>
          </x14:cfRule>
          <xm:sqref>AL412</xm:sqref>
        </x14:conditionalFormatting>
        <x14:conditionalFormatting xmlns:xm="http://schemas.microsoft.com/office/excel/2006/main">
          <x14:cfRule type="containsText" priority="6003" operator="containsText" id="{16182140-5B01-4127-A6A3-B129C89C40FD}">
            <xm:f>NOT(ISERROR(SEARCH($Q$12,AL422)))</xm:f>
            <xm:f>$Q$12</xm:f>
            <x14:dxf>
              <fill>
                <patternFill>
                  <bgColor rgb="FFFFC000"/>
                </patternFill>
              </fill>
            </x14:dxf>
          </x14:cfRule>
          <x14:cfRule type="containsText" priority="6002" operator="containsText" id="{51952660-7A7D-4A49-9400-BCFADBD768AB}">
            <xm:f>NOT(ISERROR(SEARCH($Q$12,AL422)))</xm:f>
            <xm:f>$Q$12</xm:f>
            <x14:dxf>
              <fill>
                <patternFill>
                  <bgColor rgb="FFFFFF00"/>
                </patternFill>
              </fill>
            </x14:dxf>
          </x14:cfRule>
          <x14:cfRule type="containsText" priority="6001" operator="containsText" id="{3F97D82F-5416-4C82-926F-D2FE6BCAD3E8}">
            <xm:f>NOT(ISERROR(SEARCH($Q$12,AL422)))</xm:f>
            <xm:f>$Q$12</xm:f>
            <x14:dxf>
              <fill>
                <patternFill>
                  <bgColor rgb="FF00B050"/>
                </patternFill>
              </fill>
            </x14:dxf>
          </x14:cfRule>
          <x14:cfRule type="containsText" priority="6000" operator="containsText" id="{5C2271F3-F83E-4B59-913D-65F298FB2895}">
            <xm:f>NOT(ISERROR(SEARCH($Q$12,AL422)))</xm:f>
            <xm:f>$Q$12</xm:f>
            <x14:dxf>
              <fill>
                <patternFill>
                  <bgColor theme="9" tint="0.39994506668294322"/>
                </patternFill>
              </fill>
            </x14:dxf>
          </x14:cfRule>
          <x14:cfRule type="containsText" priority="5999" operator="containsText" id="{62455800-68CA-458D-8A53-7BAE9727A69E}">
            <xm:f>NOT(ISERROR(SEARCH($Q$12,AL422)))</xm:f>
            <xm:f>$Q$12</xm:f>
            <x14:dxf>
              <fill>
                <patternFill>
                  <bgColor theme="9" tint="0.79998168889431442"/>
                </patternFill>
              </fill>
            </x14:dxf>
          </x14:cfRule>
          <x14:cfRule type="containsText" priority="6009" operator="containsText" id="{D99414EE-72F4-40DD-A5ED-8632C6C911E5}">
            <xm:f>NOT(ISERROR(SEARCH($Q$12,AL422)))</xm:f>
            <xm:f>$Q$12</xm:f>
            <x14:dxf>
              <fill>
                <patternFill>
                  <bgColor rgb="FFFF0000"/>
                </patternFill>
              </fill>
            </x14:dxf>
          </x14:cfRule>
          <x14:cfRule type="containsText" priority="6008" operator="containsText" id="{3F2F73F2-AC13-4A62-844F-D28A105ECC7A}">
            <xm:f>NOT(ISERROR(SEARCH($Q$12,AL422)))</xm:f>
            <xm:f>$Q$12</xm:f>
            <x14:dxf>
              <fill>
                <patternFill>
                  <bgColor rgb="FFFFC000"/>
                </patternFill>
              </fill>
            </x14:dxf>
          </x14:cfRule>
          <x14:cfRule type="containsText" priority="6007" operator="containsText" id="{24A42FEB-3CDF-4243-B738-C239C72BA8FE}">
            <xm:f>NOT(ISERROR(SEARCH($Q$12,AL422)))</xm:f>
            <xm:f>$Q$12</xm:f>
            <x14:dxf>
              <fill>
                <patternFill>
                  <bgColor rgb="FFFFFF00"/>
                </patternFill>
              </fill>
            </x14:dxf>
          </x14:cfRule>
          <x14:cfRule type="containsText" priority="6006" operator="containsText" id="{D6273D53-9E54-4B29-8BCB-B9DBCE259187}">
            <xm:f>NOT(ISERROR(SEARCH($Q$12,AL422)))</xm:f>
            <xm:f>$Q$12</xm:f>
            <x14:dxf>
              <fill>
                <patternFill>
                  <bgColor theme="9"/>
                </patternFill>
              </fill>
            </x14:dxf>
          </x14:cfRule>
          <x14:cfRule type="containsText" priority="6005" operator="containsText" id="{777409A6-D52D-461F-B25E-678E03FD1911}">
            <xm:f>NOT(ISERROR(SEARCH($Q$12,AL422)))</xm:f>
            <xm:f>$Q$12</xm:f>
            <x14:dxf>
              <fill>
                <patternFill>
                  <bgColor theme="9" tint="0.59996337778862885"/>
                </patternFill>
              </fill>
            </x14:dxf>
          </x14:cfRule>
          <x14:cfRule type="containsText" priority="6004" operator="containsText" id="{D306C3DF-9D5D-4F2F-B667-1DA9550DC67B}">
            <xm:f>NOT(ISERROR(SEARCH($Q$12,AL422)))</xm:f>
            <xm:f>$Q$12</xm:f>
            <x14:dxf>
              <fill>
                <patternFill>
                  <bgColor rgb="FFFF0000"/>
                </patternFill>
              </fill>
            </x14:dxf>
          </x14:cfRule>
          <xm:sqref>AL422</xm:sqref>
        </x14:conditionalFormatting>
        <x14:conditionalFormatting xmlns:xm="http://schemas.microsoft.com/office/excel/2006/main">
          <x14:cfRule type="containsText" priority="5917" operator="containsText" id="{D2EFD8B3-DB49-4BA9-A930-CD47EE85F034}">
            <xm:f>NOT(ISERROR(SEARCH($Q$12,AL432)))</xm:f>
            <xm:f>$Q$12</xm:f>
            <x14:dxf>
              <fill>
                <patternFill>
                  <bgColor rgb="FFFFFF00"/>
                </patternFill>
              </fill>
            </x14:dxf>
          </x14:cfRule>
          <x14:cfRule type="containsText" priority="5918" operator="containsText" id="{D9EEB2FD-8F30-4DC6-B205-C3E5CA294433}">
            <xm:f>NOT(ISERROR(SEARCH($Q$12,AL432)))</xm:f>
            <xm:f>$Q$12</xm:f>
            <x14:dxf>
              <fill>
                <patternFill>
                  <bgColor theme="9" tint="0.79998168889431442"/>
                </patternFill>
              </fill>
            </x14:dxf>
          </x14:cfRule>
          <x14:cfRule type="containsText" priority="5923" operator="containsText" id="{F391B6D9-7AC2-4CD3-A06B-2ECC368590A1}">
            <xm:f>NOT(ISERROR(SEARCH($Q$12,AL432)))</xm:f>
            <xm:f>$Q$12</xm:f>
            <x14:dxf>
              <fill>
                <patternFill>
                  <bgColor rgb="FFFFC000"/>
                </patternFill>
              </fill>
            </x14:dxf>
          </x14:cfRule>
          <x14:cfRule type="containsText" priority="5925" operator="containsText" id="{8D657B45-4608-4B49-8F95-3326C771B546}">
            <xm:f>NOT(ISERROR(SEARCH($Q$12,AL432)))</xm:f>
            <xm:f>$Q$12</xm:f>
            <x14:dxf>
              <fill>
                <patternFill>
                  <bgColor theme="9" tint="0.59996337778862885"/>
                </patternFill>
              </fill>
            </x14:dxf>
          </x14:cfRule>
          <x14:cfRule type="containsText" priority="5929" operator="containsText" id="{84BEDA76-CBF8-45FB-93D6-20D42F152D5E}">
            <xm:f>NOT(ISERROR(SEARCH($Q$12,AL432)))</xm:f>
            <xm:f>$Q$12</xm:f>
            <x14:dxf>
              <fill>
                <patternFill>
                  <bgColor rgb="FFFF0000"/>
                </patternFill>
              </fill>
            </x14:dxf>
          </x14:cfRule>
          <x14:cfRule type="containsText" priority="5924" operator="containsText" id="{06748B21-3EB5-4350-A761-5487587E21D5}">
            <xm:f>NOT(ISERROR(SEARCH($Q$12,AL432)))</xm:f>
            <xm:f>$Q$12</xm:f>
            <x14:dxf>
              <fill>
                <patternFill>
                  <bgColor rgb="FFFF0000"/>
                </patternFill>
              </fill>
            </x14:dxf>
          </x14:cfRule>
          <x14:cfRule type="containsText" priority="5922" operator="containsText" id="{2D823647-5E7E-42C6-B389-9C74391D3367}">
            <xm:f>NOT(ISERROR(SEARCH($Q$12,AL432)))</xm:f>
            <xm:f>$Q$12</xm:f>
            <x14:dxf>
              <fill>
                <patternFill>
                  <bgColor rgb="FFFFFF00"/>
                </patternFill>
              </fill>
            </x14:dxf>
          </x14:cfRule>
          <x14:cfRule type="containsText" priority="5920" operator="containsText" id="{5D4484AF-2D3B-468F-9B41-532F29C3632F}">
            <xm:f>NOT(ISERROR(SEARCH($Q$12,AL432)))</xm:f>
            <xm:f>$Q$12</xm:f>
            <x14:dxf>
              <fill>
                <patternFill>
                  <bgColor rgb="FF00B050"/>
                </patternFill>
              </fill>
            </x14:dxf>
          </x14:cfRule>
          <x14:cfRule type="containsText" priority="5919" operator="containsText" id="{2EC6D6E2-D50E-443C-BE7C-9C9FFBF1CEAC}">
            <xm:f>NOT(ISERROR(SEARCH($Q$12,AL432)))</xm:f>
            <xm:f>$Q$12</xm:f>
            <x14:dxf>
              <fill>
                <patternFill>
                  <bgColor theme="9" tint="0.39994506668294322"/>
                </patternFill>
              </fill>
            </x14:dxf>
          </x14:cfRule>
          <x14:cfRule type="containsText" priority="5928" operator="containsText" id="{15DD15D4-400A-46B6-84E3-22717D54EE41}">
            <xm:f>NOT(ISERROR(SEARCH($Q$12,AL432)))</xm:f>
            <xm:f>$Q$12</xm:f>
            <x14:dxf>
              <fill>
                <patternFill>
                  <bgColor rgb="FFFFC000"/>
                </patternFill>
              </fill>
            </x14:dxf>
          </x14:cfRule>
          <x14:cfRule type="containsText" priority="5926" operator="containsText" id="{2DA3995F-5615-4226-9C89-AF7F8385887B}">
            <xm:f>NOT(ISERROR(SEARCH($Q$12,AL432)))</xm:f>
            <xm:f>$Q$12</xm:f>
            <x14:dxf>
              <fill>
                <patternFill>
                  <bgColor theme="9"/>
                </patternFill>
              </fill>
            </x14:dxf>
          </x14:cfRule>
          <xm:sqref>AL432</xm:sqref>
        </x14:conditionalFormatting>
        <x14:conditionalFormatting xmlns:xm="http://schemas.microsoft.com/office/excel/2006/main">
          <x14:cfRule type="containsText" priority="5454" operator="containsText" id="{7C96C549-9A97-47F2-8E8A-E69C58998AE6}">
            <xm:f>NOT(ISERROR(SEARCH($Q$12,AL442)))</xm:f>
            <xm:f>$Q$12</xm:f>
            <x14:dxf>
              <fill>
                <patternFill>
                  <bgColor rgb="FFFFC000"/>
                </patternFill>
              </fill>
            </x14:dxf>
          </x14:cfRule>
          <x14:cfRule type="containsText" priority="5443" operator="containsText" id="{CB2BCF20-1468-4839-9CF2-2A336F7F3BA9}">
            <xm:f>NOT(ISERROR(SEARCH($Q$12,AL442)))</xm:f>
            <xm:f>$Q$12</xm:f>
            <x14:dxf>
              <fill>
                <patternFill>
                  <bgColor rgb="FFFFFF00"/>
                </patternFill>
              </fill>
            </x14:dxf>
          </x14:cfRule>
          <x14:cfRule type="containsText" priority="5444" operator="containsText" id="{583214B0-13DE-4B49-BF33-D76F53A00364}">
            <xm:f>NOT(ISERROR(SEARCH($Q$12,AL442)))</xm:f>
            <xm:f>$Q$12</xm:f>
            <x14:dxf>
              <fill>
                <patternFill>
                  <bgColor theme="9" tint="0.79998168889431442"/>
                </patternFill>
              </fill>
            </x14:dxf>
          </x14:cfRule>
          <x14:cfRule type="containsText" priority="5445" operator="containsText" id="{3027B584-176A-4E7B-9515-F103C0B5D379}">
            <xm:f>NOT(ISERROR(SEARCH($Q$12,AL442)))</xm:f>
            <xm:f>$Q$12</xm:f>
            <x14:dxf>
              <fill>
                <patternFill>
                  <bgColor theme="9" tint="0.39994506668294322"/>
                </patternFill>
              </fill>
            </x14:dxf>
          </x14:cfRule>
          <x14:cfRule type="containsText" priority="5446" operator="containsText" id="{AB4A442B-0813-41DC-8037-5CF117254BF3}">
            <xm:f>NOT(ISERROR(SEARCH($Q$12,AL442)))</xm:f>
            <xm:f>$Q$12</xm:f>
            <x14:dxf>
              <fill>
                <patternFill>
                  <bgColor rgb="FF00B050"/>
                </patternFill>
              </fill>
            </x14:dxf>
          </x14:cfRule>
          <x14:cfRule type="containsText" priority="5448" operator="containsText" id="{57EE5D43-8513-48A6-A478-97A946330C94}">
            <xm:f>NOT(ISERROR(SEARCH($Q$12,AL442)))</xm:f>
            <xm:f>$Q$12</xm:f>
            <x14:dxf>
              <fill>
                <patternFill>
                  <bgColor rgb="FFFFFF00"/>
                </patternFill>
              </fill>
            </x14:dxf>
          </x14:cfRule>
          <x14:cfRule type="containsText" priority="5449" operator="containsText" id="{82B8A62E-DC11-4349-9A2E-24F9ADDA7EFA}">
            <xm:f>NOT(ISERROR(SEARCH($Q$12,AL442)))</xm:f>
            <xm:f>$Q$12</xm:f>
            <x14:dxf>
              <fill>
                <patternFill>
                  <bgColor rgb="FFFFC000"/>
                </patternFill>
              </fill>
            </x14:dxf>
          </x14:cfRule>
          <x14:cfRule type="containsText" priority="5450" operator="containsText" id="{3DD691EC-7BB1-4FD6-B5CE-4B24DA2EBA04}">
            <xm:f>NOT(ISERROR(SEARCH($Q$12,AL442)))</xm:f>
            <xm:f>$Q$12</xm:f>
            <x14:dxf>
              <fill>
                <patternFill>
                  <bgColor rgb="FFFF0000"/>
                </patternFill>
              </fill>
            </x14:dxf>
          </x14:cfRule>
          <x14:cfRule type="containsText" priority="5451" operator="containsText" id="{B8554529-B9D2-4E6A-8B85-288EAEAE569E}">
            <xm:f>NOT(ISERROR(SEARCH($Q$12,AL442)))</xm:f>
            <xm:f>$Q$12</xm:f>
            <x14:dxf>
              <fill>
                <patternFill>
                  <bgColor theme="9" tint="0.59996337778862885"/>
                </patternFill>
              </fill>
            </x14:dxf>
          </x14:cfRule>
          <x14:cfRule type="containsText" priority="5452" operator="containsText" id="{24F5E411-98D8-41F5-B33D-D423F677518D}">
            <xm:f>NOT(ISERROR(SEARCH($Q$12,AL442)))</xm:f>
            <xm:f>$Q$12</xm:f>
            <x14:dxf>
              <fill>
                <patternFill>
                  <bgColor theme="9"/>
                </patternFill>
              </fill>
            </x14:dxf>
          </x14:cfRule>
          <x14:cfRule type="containsText" priority="5455" operator="containsText" id="{49A048B9-3328-4596-937E-D7C6BBEC90C3}">
            <xm:f>NOT(ISERROR(SEARCH($Q$12,AL442)))</xm:f>
            <xm:f>$Q$12</xm:f>
            <x14:dxf>
              <fill>
                <patternFill>
                  <bgColor rgb="FFFF0000"/>
                </patternFill>
              </fill>
            </x14:dxf>
          </x14:cfRule>
          <xm:sqref>AL442</xm:sqref>
        </x14:conditionalFormatting>
        <x14:conditionalFormatting xmlns:xm="http://schemas.microsoft.com/office/excel/2006/main">
          <x14:cfRule type="containsText" priority="5427" operator="containsText" id="{B4300D60-A65E-4C7E-ACE8-62897DD8FEB3}">
            <xm:f>NOT(ISERROR(SEARCH($Q$12,AL452)))</xm:f>
            <xm:f>$Q$12</xm:f>
            <x14:dxf>
              <fill>
                <patternFill>
                  <bgColor theme="9"/>
                </patternFill>
              </fill>
            </x14:dxf>
          </x14:cfRule>
          <x14:cfRule type="containsText" priority="5425" operator="containsText" id="{400743AD-F239-4232-85D7-4C73378B5FF4}">
            <xm:f>NOT(ISERROR(SEARCH($Q$12,AL452)))</xm:f>
            <xm:f>$Q$12</xm:f>
            <x14:dxf>
              <fill>
                <patternFill>
                  <bgColor rgb="FFFF0000"/>
                </patternFill>
              </fill>
            </x14:dxf>
          </x14:cfRule>
          <x14:cfRule type="containsText" priority="5424" operator="containsText" id="{AB444B81-1A3B-4293-A5D4-4CC2B5E59AF7}">
            <xm:f>NOT(ISERROR(SEARCH($Q$12,AL452)))</xm:f>
            <xm:f>$Q$12</xm:f>
            <x14:dxf>
              <fill>
                <patternFill>
                  <bgColor rgb="FFFFC000"/>
                </patternFill>
              </fill>
            </x14:dxf>
          </x14:cfRule>
          <x14:cfRule type="containsText" priority="5422" operator="containsText" id="{F1089DD8-BD50-40BB-9CA5-5D81F1BFED3E}">
            <xm:f>NOT(ISERROR(SEARCH($Q$12,AL452)))</xm:f>
            <xm:f>$Q$12</xm:f>
            <x14:dxf>
              <fill>
                <patternFill>
                  <bgColor rgb="FF00B050"/>
                </patternFill>
              </fill>
            </x14:dxf>
          </x14:cfRule>
          <x14:cfRule type="containsText" priority="5428" operator="containsText" id="{2C0AAA36-70EC-4CDF-AA83-9963F98D8A81}">
            <xm:f>NOT(ISERROR(SEARCH($Q$12,AL452)))</xm:f>
            <xm:f>$Q$12</xm:f>
            <x14:dxf>
              <fill>
                <patternFill>
                  <bgColor rgb="FFFFC000"/>
                </patternFill>
              </fill>
            </x14:dxf>
          </x14:cfRule>
          <x14:cfRule type="containsText" priority="5429" operator="containsText" id="{8DAC02CB-9F23-4D7C-AFE3-7D50BCA6301A}">
            <xm:f>NOT(ISERROR(SEARCH($Q$12,AL452)))</xm:f>
            <xm:f>$Q$12</xm:f>
            <x14:dxf>
              <fill>
                <patternFill>
                  <bgColor rgb="FFFF0000"/>
                </patternFill>
              </fill>
            </x14:dxf>
          </x14:cfRule>
          <x14:cfRule type="containsText" priority="5423" operator="containsText" id="{70DCADA3-D514-432A-A851-7C258280015E}">
            <xm:f>NOT(ISERROR(SEARCH($Q$12,AL452)))</xm:f>
            <xm:f>$Q$12</xm:f>
            <x14:dxf>
              <fill>
                <patternFill>
                  <bgColor rgb="FFFFFF00"/>
                </patternFill>
              </fill>
            </x14:dxf>
          </x14:cfRule>
          <x14:cfRule type="containsText" priority="5419" operator="containsText" id="{2D2E9C63-AC4D-489C-9005-8C5930E74695}">
            <xm:f>NOT(ISERROR(SEARCH($Q$12,AL452)))</xm:f>
            <xm:f>$Q$12</xm:f>
            <x14:dxf>
              <fill>
                <patternFill>
                  <bgColor rgb="FFFFFF00"/>
                </patternFill>
              </fill>
            </x14:dxf>
          </x14:cfRule>
          <x14:cfRule type="containsText" priority="5420" operator="containsText" id="{50AAB29F-D2FF-4D57-A277-BC9FCC529615}">
            <xm:f>NOT(ISERROR(SEARCH($Q$12,AL452)))</xm:f>
            <xm:f>$Q$12</xm:f>
            <x14:dxf>
              <fill>
                <patternFill>
                  <bgColor theme="9" tint="0.79998168889431442"/>
                </patternFill>
              </fill>
            </x14:dxf>
          </x14:cfRule>
          <x14:cfRule type="containsText" priority="5421" operator="containsText" id="{047E9DF4-4225-46AA-9C9A-72DF55CB464B}">
            <xm:f>NOT(ISERROR(SEARCH($Q$12,AL452)))</xm:f>
            <xm:f>$Q$12</xm:f>
            <x14:dxf>
              <fill>
                <patternFill>
                  <bgColor theme="9" tint="0.39994506668294322"/>
                </patternFill>
              </fill>
            </x14:dxf>
          </x14:cfRule>
          <x14:cfRule type="containsText" priority="5426" operator="containsText" id="{84C52205-8C93-40BA-8558-6CB4DAC99C13}">
            <xm:f>NOT(ISERROR(SEARCH($Q$12,AL452)))</xm:f>
            <xm:f>$Q$12</xm:f>
            <x14:dxf>
              <fill>
                <patternFill>
                  <bgColor theme="9" tint="0.59996337778862885"/>
                </patternFill>
              </fill>
            </x14:dxf>
          </x14:cfRule>
          <xm:sqref>AL452</xm:sqref>
        </x14:conditionalFormatting>
        <x14:conditionalFormatting xmlns:xm="http://schemas.microsoft.com/office/excel/2006/main">
          <x14:cfRule type="containsText" priority="5413" operator="containsText" id="{7DFEA26D-0771-4C1F-8B1B-02A16F1AA98F}">
            <xm:f>NOT(ISERROR(SEARCH($Q$12,AL462)))</xm:f>
            <xm:f>$Q$12</xm:f>
            <x14:dxf>
              <fill>
                <patternFill>
                  <bgColor rgb="FFFF0000"/>
                </patternFill>
              </fill>
            </x14:dxf>
          </x14:cfRule>
          <x14:cfRule type="containsText" priority="5412" operator="containsText" id="{BB0960FD-3D51-4726-870A-1F87B28D7560}">
            <xm:f>NOT(ISERROR(SEARCH($Q$12,AL462)))</xm:f>
            <xm:f>$Q$12</xm:f>
            <x14:dxf>
              <fill>
                <patternFill>
                  <bgColor rgb="FFFFC000"/>
                </patternFill>
              </fill>
            </x14:dxf>
          </x14:cfRule>
          <x14:cfRule type="containsText" priority="5409" operator="containsText" id="{5B5CE2C8-AE76-41FA-8606-6D837653DF2B}">
            <xm:f>NOT(ISERROR(SEARCH($Q$12,AL462)))</xm:f>
            <xm:f>$Q$12</xm:f>
            <x14:dxf>
              <fill>
                <patternFill>
                  <bgColor rgb="FFFF0000"/>
                </patternFill>
              </fill>
            </x14:dxf>
          </x14:cfRule>
          <x14:cfRule type="containsText" priority="5404" operator="containsText" id="{62AF2788-D4DE-4969-A1CD-C3BBCC55599A}">
            <xm:f>NOT(ISERROR(SEARCH($Q$12,AL462)))</xm:f>
            <xm:f>$Q$12</xm:f>
            <x14:dxf>
              <fill>
                <patternFill>
                  <bgColor theme="9" tint="0.79998168889431442"/>
                </patternFill>
              </fill>
            </x14:dxf>
          </x14:cfRule>
          <x14:cfRule type="containsText" priority="5403" operator="containsText" id="{1702857E-2814-4AD1-ADF0-85EB2C22F961}">
            <xm:f>NOT(ISERROR(SEARCH($Q$12,AL462)))</xm:f>
            <xm:f>$Q$12</xm:f>
            <x14:dxf>
              <fill>
                <patternFill>
                  <bgColor rgb="FFFFFF00"/>
                </patternFill>
              </fill>
            </x14:dxf>
          </x14:cfRule>
          <x14:cfRule type="containsText" priority="5405" operator="containsText" id="{3A40EE38-D484-49A6-8727-DCFDCFE5EA92}">
            <xm:f>NOT(ISERROR(SEARCH($Q$12,AL462)))</xm:f>
            <xm:f>$Q$12</xm:f>
            <x14:dxf>
              <fill>
                <patternFill>
                  <bgColor theme="9" tint="0.39994506668294322"/>
                </patternFill>
              </fill>
            </x14:dxf>
          </x14:cfRule>
          <x14:cfRule type="containsText" priority="5406" operator="containsText" id="{790A5CE1-3A76-4855-BD69-6C2AB31F590E}">
            <xm:f>NOT(ISERROR(SEARCH($Q$12,AL462)))</xm:f>
            <xm:f>$Q$12</xm:f>
            <x14:dxf>
              <fill>
                <patternFill>
                  <bgColor rgb="FF00B050"/>
                </patternFill>
              </fill>
            </x14:dxf>
          </x14:cfRule>
          <x14:cfRule type="containsText" priority="5407" operator="containsText" id="{53641D62-E0E6-4C1A-BB46-A92C67F72212}">
            <xm:f>NOT(ISERROR(SEARCH($Q$12,AL462)))</xm:f>
            <xm:f>$Q$12</xm:f>
            <x14:dxf>
              <fill>
                <patternFill>
                  <bgColor rgb="FFFFFF00"/>
                </patternFill>
              </fill>
            </x14:dxf>
          </x14:cfRule>
          <x14:cfRule type="containsText" priority="5408" operator="containsText" id="{998C48F9-A2CB-4A9C-9D8E-6AAFBFF2587C}">
            <xm:f>NOT(ISERROR(SEARCH($Q$12,AL462)))</xm:f>
            <xm:f>$Q$12</xm:f>
            <x14:dxf>
              <fill>
                <patternFill>
                  <bgColor rgb="FFFFC000"/>
                </patternFill>
              </fill>
            </x14:dxf>
          </x14:cfRule>
          <x14:cfRule type="containsText" priority="5410" operator="containsText" id="{5C1B7DBB-3755-4AE4-BCFB-0ABC5EFA68F9}">
            <xm:f>NOT(ISERROR(SEARCH($Q$12,AL462)))</xm:f>
            <xm:f>$Q$12</xm:f>
            <x14:dxf>
              <fill>
                <patternFill>
                  <bgColor theme="9" tint="0.59996337778862885"/>
                </patternFill>
              </fill>
            </x14:dxf>
          </x14:cfRule>
          <x14:cfRule type="containsText" priority="5411" operator="containsText" id="{484AA51C-513D-46B2-BCFF-BB51169E520A}">
            <xm:f>NOT(ISERROR(SEARCH($Q$12,AL462)))</xm:f>
            <xm:f>$Q$12</xm:f>
            <x14:dxf>
              <fill>
                <patternFill>
                  <bgColor theme="9"/>
                </patternFill>
              </fill>
            </x14:dxf>
          </x14:cfRule>
          <xm:sqref>AL462</xm:sqref>
        </x14:conditionalFormatting>
        <x14:conditionalFormatting xmlns:xm="http://schemas.microsoft.com/office/excel/2006/main">
          <x14:cfRule type="containsText" priority="5388" operator="containsText" id="{1916CFDF-869A-4016-B3E6-E2E5B6BEB382}">
            <xm:f>NOT(ISERROR(SEARCH($Q$12,AL472)))</xm:f>
            <xm:f>$Q$12</xm:f>
            <x14:dxf>
              <fill>
                <patternFill>
                  <bgColor theme="9" tint="0.79998168889431442"/>
                </patternFill>
              </fill>
            </x14:dxf>
          </x14:cfRule>
          <x14:cfRule type="containsText" priority="5389" operator="containsText" id="{9BCEB72E-EFA1-4DFA-849E-8300A32899E3}">
            <xm:f>NOT(ISERROR(SEARCH($Q$12,AL472)))</xm:f>
            <xm:f>$Q$12</xm:f>
            <x14:dxf>
              <fill>
                <patternFill>
                  <bgColor theme="9" tint="0.39994506668294322"/>
                </patternFill>
              </fill>
            </x14:dxf>
          </x14:cfRule>
          <x14:cfRule type="containsText" priority="5390" operator="containsText" id="{85D05FA0-E6C8-4FF7-8B8C-376DC3DAD5CC}">
            <xm:f>NOT(ISERROR(SEARCH($Q$12,AL472)))</xm:f>
            <xm:f>$Q$12</xm:f>
            <x14:dxf>
              <fill>
                <patternFill>
                  <bgColor rgb="FF00B050"/>
                </patternFill>
              </fill>
            </x14:dxf>
          </x14:cfRule>
          <x14:cfRule type="containsText" priority="5391" operator="containsText" id="{244CC6C1-9763-4CC4-8175-48724FF9AE07}">
            <xm:f>NOT(ISERROR(SEARCH($Q$12,AL472)))</xm:f>
            <xm:f>$Q$12</xm:f>
            <x14:dxf>
              <fill>
                <patternFill>
                  <bgColor rgb="FFFFFF00"/>
                </patternFill>
              </fill>
            </x14:dxf>
          </x14:cfRule>
          <x14:cfRule type="containsText" priority="5392" operator="containsText" id="{21A4C654-73EA-4955-A706-661FB37751C4}">
            <xm:f>NOT(ISERROR(SEARCH($Q$12,AL472)))</xm:f>
            <xm:f>$Q$12</xm:f>
            <x14:dxf>
              <fill>
                <patternFill>
                  <bgColor rgb="FFFFC000"/>
                </patternFill>
              </fill>
            </x14:dxf>
          </x14:cfRule>
          <x14:cfRule type="containsText" priority="5393" operator="containsText" id="{5A64996A-89FA-4C03-9A48-76E7339D641A}">
            <xm:f>NOT(ISERROR(SEARCH($Q$12,AL472)))</xm:f>
            <xm:f>$Q$12</xm:f>
            <x14:dxf>
              <fill>
                <patternFill>
                  <bgColor rgb="FFFF0000"/>
                </patternFill>
              </fill>
            </x14:dxf>
          </x14:cfRule>
          <x14:cfRule type="containsText" priority="5394" operator="containsText" id="{08F501D4-FA04-4AF7-B4A5-F053D236C802}">
            <xm:f>NOT(ISERROR(SEARCH($Q$12,AL472)))</xm:f>
            <xm:f>$Q$12</xm:f>
            <x14:dxf>
              <fill>
                <patternFill>
                  <bgColor theme="9" tint="0.59996337778862885"/>
                </patternFill>
              </fill>
            </x14:dxf>
          </x14:cfRule>
          <x14:cfRule type="containsText" priority="5396" operator="containsText" id="{365E35A5-D3AA-4E91-832B-EF8DC61CFE2F}">
            <xm:f>NOT(ISERROR(SEARCH($Q$12,AL472)))</xm:f>
            <xm:f>$Q$12</xm:f>
            <x14:dxf>
              <fill>
                <patternFill>
                  <bgColor rgb="FFFFC000"/>
                </patternFill>
              </fill>
            </x14:dxf>
          </x14:cfRule>
          <x14:cfRule type="containsText" priority="5397" operator="containsText" id="{0CE71E8F-F313-42CB-8E79-08F9D62FC03A}">
            <xm:f>NOT(ISERROR(SEARCH($Q$12,AL472)))</xm:f>
            <xm:f>$Q$12</xm:f>
            <x14:dxf>
              <fill>
                <patternFill>
                  <bgColor rgb="FFFF0000"/>
                </patternFill>
              </fill>
            </x14:dxf>
          </x14:cfRule>
          <x14:cfRule type="containsText" priority="5387" operator="containsText" id="{7D91D795-E71C-49FA-9B25-80873F24E854}">
            <xm:f>NOT(ISERROR(SEARCH($Q$12,AL472)))</xm:f>
            <xm:f>$Q$12</xm:f>
            <x14:dxf>
              <fill>
                <patternFill>
                  <bgColor rgb="FFFFFF00"/>
                </patternFill>
              </fill>
            </x14:dxf>
          </x14:cfRule>
          <x14:cfRule type="containsText" priority="5395" operator="containsText" id="{6D1AAA80-5C52-43AF-8C4F-FDB1E5E09928}">
            <xm:f>NOT(ISERROR(SEARCH($Q$12,AL472)))</xm:f>
            <xm:f>$Q$12</xm:f>
            <x14:dxf>
              <fill>
                <patternFill>
                  <bgColor theme="9"/>
                </patternFill>
              </fill>
            </x14:dxf>
          </x14:cfRule>
          <xm:sqref>AL472</xm:sqref>
        </x14:conditionalFormatting>
        <x14:conditionalFormatting xmlns:xm="http://schemas.microsoft.com/office/excel/2006/main">
          <x14:cfRule type="containsText" priority="5371" operator="containsText" id="{F18EF2FB-1D63-4CF5-AB0B-672A5149176E}">
            <xm:f>NOT(ISERROR(SEARCH($Q$12,AL482)))</xm:f>
            <xm:f>$Q$12</xm:f>
            <x14:dxf>
              <fill>
                <patternFill>
                  <bgColor rgb="FFFFFF00"/>
                </patternFill>
              </fill>
            </x14:dxf>
          </x14:cfRule>
          <x14:cfRule type="containsText" priority="5372" operator="containsText" id="{2FDDE2C2-BC29-406A-B29E-7B34E12D48B4}">
            <xm:f>NOT(ISERROR(SEARCH($Q$12,AL482)))</xm:f>
            <xm:f>$Q$12</xm:f>
            <x14:dxf>
              <fill>
                <patternFill>
                  <bgColor theme="9" tint="0.79998168889431442"/>
                </patternFill>
              </fill>
            </x14:dxf>
          </x14:cfRule>
          <x14:cfRule type="containsText" priority="5374" operator="containsText" id="{B5524C0A-818C-4EE6-95B6-220978CB98A5}">
            <xm:f>NOT(ISERROR(SEARCH($Q$12,AL482)))</xm:f>
            <xm:f>$Q$12</xm:f>
            <x14:dxf>
              <fill>
                <patternFill>
                  <bgColor rgb="FF00B050"/>
                </patternFill>
              </fill>
            </x14:dxf>
          </x14:cfRule>
          <x14:cfRule type="containsText" priority="5375" operator="containsText" id="{A1337C50-055F-4D8F-91AD-F8BDF9F8B0B1}">
            <xm:f>NOT(ISERROR(SEARCH($Q$12,AL482)))</xm:f>
            <xm:f>$Q$12</xm:f>
            <x14:dxf>
              <fill>
                <patternFill>
                  <bgColor rgb="FFFFFF00"/>
                </patternFill>
              </fill>
            </x14:dxf>
          </x14:cfRule>
          <x14:cfRule type="containsText" priority="5376" operator="containsText" id="{EA30B725-B454-41EF-9044-A2C1E38BAF4E}">
            <xm:f>NOT(ISERROR(SEARCH($Q$12,AL482)))</xm:f>
            <xm:f>$Q$12</xm:f>
            <x14:dxf>
              <fill>
                <patternFill>
                  <bgColor rgb="FFFFC000"/>
                </patternFill>
              </fill>
            </x14:dxf>
          </x14:cfRule>
          <x14:cfRule type="containsText" priority="5377" operator="containsText" id="{3430DC47-9E57-404C-AED6-3F7CDA7322BC}">
            <xm:f>NOT(ISERROR(SEARCH($Q$12,AL482)))</xm:f>
            <xm:f>$Q$12</xm:f>
            <x14:dxf>
              <fill>
                <patternFill>
                  <bgColor rgb="FFFF0000"/>
                </patternFill>
              </fill>
            </x14:dxf>
          </x14:cfRule>
          <x14:cfRule type="containsText" priority="5378" operator="containsText" id="{447AE563-B9C5-4391-BEF4-74A41F4BA3AA}">
            <xm:f>NOT(ISERROR(SEARCH($Q$12,AL482)))</xm:f>
            <xm:f>$Q$12</xm:f>
            <x14:dxf>
              <fill>
                <patternFill>
                  <bgColor theme="9" tint="0.59996337778862885"/>
                </patternFill>
              </fill>
            </x14:dxf>
          </x14:cfRule>
          <x14:cfRule type="containsText" priority="5379" operator="containsText" id="{C6ECC7B1-BFF6-4022-B9CB-80E5EA4B6868}">
            <xm:f>NOT(ISERROR(SEARCH($Q$12,AL482)))</xm:f>
            <xm:f>$Q$12</xm:f>
            <x14:dxf>
              <fill>
                <patternFill>
                  <bgColor theme="9"/>
                </patternFill>
              </fill>
            </x14:dxf>
          </x14:cfRule>
          <x14:cfRule type="containsText" priority="5373" operator="containsText" id="{7472B6B1-BD4D-4BA7-8F55-198A9613F0A9}">
            <xm:f>NOT(ISERROR(SEARCH($Q$12,AL482)))</xm:f>
            <xm:f>$Q$12</xm:f>
            <x14:dxf>
              <fill>
                <patternFill>
                  <bgColor theme="9" tint="0.39994506668294322"/>
                </patternFill>
              </fill>
            </x14:dxf>
          </x14:cfRule>
          <x14:cfRule type="containsText" priority="5380" operator="containsText" id="{1F7BB2D5-106E-401C-A352-CF8154680E76}">
            <xm:f>NOT(ISERROR(SEARCH($Q$12,AL482)))</xm:f>
            <xm:f>$Q$12</xm:f>
            <x14:dxf>
              <fill>
                <patternFill>
                  <bgColor rgb="FFFFC000"/>
                </patternFill>
              </fill>
            </x14:dxf>
          </x14:cfRule>
          <x14:cfRule type="containsText" priority="5381" operator="containsText" id="{9E86363E-1E83-405F-8351-B2DD8BE78E9F}">
            <xm:f>NOT(ISERROR(SEARCH($Q$12,AL482)))</xm:f>
            <xm:f>$Q$12</xm:f>
            <x14:dxf>
              <fill>
                <patternFill>
                  <bgColor rgb="FFFF0000"/>
                </patternFill>
              </fill>
            </x14:dxf>
          </x14:cfRule>
          <xm:sqref>AL482</xm:sqref>
        </x14:conditionalFormatting>
        <x14:conditionalFormatting xmlns:xm="http://schemas.microsoft.com/office/excel/2006/main">
          <x14:cfRule type="containsText" priority="5355" operator="containsText" id="{5C345300-EB00-4212-9C9B-C89B619EB352}">
            <xm:f>NOT(ISERROR(SEARCH($Q$12,AL492)))</xm:f>
            <xm:f>$Q$12</xm:f>
            <x14:dxf>
              <fill>
                <patternFill>
                  <bgColor rgb="FFFFFF00"/>
                </patternFill>
              </fill>
            </x14:dxf>
          </x14:cfRule>
          <x14:cfRule type="containsText" priority="5356" operator="containsText" id="{04A1A121-AED2-4EC0-9A99-8A3CF8452BA3}">
            <xm:f>NOT(ISERROR(SEARCH($Q$12,AL492)))</xm:f>
            <xm:f>$Q$12</xm:f>
            <x14:dxf>
              <fill>
                <patternFill>
                  <bgColor theme="9" tint="0.79998168889431442"/>
                </patternFill>
              </fill>
            </x14:dxf>
          </x14:cfRule>
          <x14:cfRule type="containsText" priority="5357" operator="containsText" id="{5FA233A2-8B0E-44F2-8225-3FF5A690DAEF}">
            <xm:f>NOT(ISERROR(SEARCH($Q$12,AL492)))</xm:f>
            <xm:f>$Q$12</xm:f>
            <x14:dxf>
              <fill>
                <patternFill>
                  <bgColor theme="9" tint="0.39994506668294322"/>
                </patternFill>
              </fill>
            </x14:dxf>
          </x14:cfRule>
          <x14:cfRule type="containsText" priority="5358" operator="containsText" id="{91D63BED-A57C-4CF7-A302-E62659078192}">
            <xm:f>NOT(ISERROR(SEARCH($Q$12,AL492)))</xm:f>
            <xm:f>$Q$12</xm:f>
            <x14:dxf>
              <fill>
                <patternFill>
                  <bgColor rgb="FF00B050"/>
                </patternFill>
              </fill>
            </x14:dxf>
          </x14:cfRule>
          <x14:cfRule type="containsText" priority="5359" operator="containsText" id="{D15EA69B-BC4A-4E5E-B4C2-19DDB3310CD5}">
            <xm:f>NOT(ISERROR(SEARCH($Q$12,AL492)))</xm:f>
            <xm:f>$Q$12</xm:f>
            <x14:dxf>
              <fill>
                <patternFill>
                  <bgColor rgb="FFFFFF00"/>
                </patternFill>
              </fill>
            </x14:dxf>
          </x14:cfRule>
          <x14:cfRule type="containsText" priority="5360" operator="containsText" id="{CD222984-30F3-4658-B9A5-507DA3D5A53C}">
            <xm:f>NOT(ISERROR(SEARCH($Q$12,AL492)))</xm:f>
            <xm:f>$Q$12</xm:f>
            <x14:dxf>
              <fill>
                <patternFill>
                  <bgColor rgb="FFFFC000"/>
                </patternFill>
              </fill>
            </x14:dxf>
          </x14:cfRule>
          <x14:cfRule type="containsText" priority="5361" operator="containsText" id="{66E49C1E-6EE9-4170-8DC8-A7CDAD7564A4}">
            <xm:f>NOT(ISERROR(SEARCH($Q$12,AL492)))</xm:f>
            <xm:f>$Q$12</xm:f>
            <x14:dxf>
              <fill>
                <patternFill>
                  <bgColor rgb="FFFF0000"/>
                </patternFill>
              </fill>
            </x14:dxf>
          </x14:cfRule>
          <x14:cfRule type="containsText" priority="5362" operator="containsText" id="{73C60416-7CA7-49FA-8C78-1DBB0F5640FC}">
            <xm:f>NOT(ISERROR(SEARCH($Q$12,AL492)))</xm:f>
            <xm:f>$Q$12</xm:f>
            <x14:dxf>
              <fill>
                <patternFill>
                  <bgColor theme="9" tint="0.59996337778862885"/>
                </patternFill>
              </fill>
            </x14:dxf>
          </x14:cfRule>
          <x14:cfRule type="containsText" priority="5363" operator="containsText" id="{ACB920B2-D122-45EE-A396-BA83D92F66BC}">
            <xm:f>NOT(ISERROR(SEARCH($Q$12,AL492)))</xm:f>
            <xm:f>$Q$12</xm:f>
            <x14:dxf>
              <fill>
                <patternFill>
                  <bgColor theme="9"/>
                </patternFill>
              </fill>
            </x14:dxf>
          </x14:cfRule>
          <x14:cfRule type="containsText" priority="5364" operator="containsText" id="{3EECF50A-DA66-49CD-8051-03A6669A9A77}">
            <xm:f>NOT(ISERROR(SEARCH($Q$12,AL492)))</xm:f>
            <xm:f>$Q$12</xm:f>
            <x14:dxf>
              <fill>
                <patternFill>
                  <bgColor rgb="FFFFC000"/>
                </patternFill>
              </fill>
            </x14:dxf>
          </x14:cfRule>
          <x14:cfRule type="containsText" priority="5365" operator="containsText" id="{F53C9A4E-B073-4DE7-8740-268877A93EEF}">
            <xm:f>NOT(ISERROR(SEARCH($Q$12,AL492)))</xm:f>
            <xm:f>$Q$12</xm:f>
            <x14:dxf>
              <fill>
                <patternFill>
                  <bgColor rgb="FFFF0000"/>
                </patternFill>
              </fill>
            </x14:dxf>
          </x14:cfRule>
          <xm:sqref>AL492</xm:sqref>
        </x14:conditionalFormatting>
        <x14:conditionalFormatting xmlns:xm="http://schemas.microsoft.com/office/excel/2006/main">
          <x14:cfRule type="containsText" priority="5123" operator="containsText" id="{36989FF5-A497-4184-BC9F-7272FD61730A}">
            <xm:f>NOT(ISERROR(SEARCH($Q$12,AL502)))</xm:f>
            <xm:f>$Q$12</xm:f>
            <x14:dxf>
              <fill>
                <patternFill>
                  <bgColor theme="9" tint="0.39994506668294322"/>
                </patternFill>
              </fill>
            </x14:dxf>
          </x14:cfRule>
          <x14:cfRule type="containsText" priority="5132" operator="containsText" id="{E8F75E1D-B6EF-4712-BE56-409095BEC217}">
            <xm:f>NOT(ISERROR(SEARCH($Q$12,AL502)))</xm:f>
            <xm:f>$Q$12</xm:f>
            <x14:dxf>
              <fill>
                <patternFill>
                  <bgColor rgb="FFFFC000"/>
                </patternFill>
              </fill>
            </x14:dxf>
          </x14:cfRule>
          <x14:cfRule type="containsText" priority="5130" operator="containsText" id="{D4B69832-78DD-426E-97CD-EF15E0B5694D}">
            <xm:f>NOT(ISERROR(SEARCH($Q$12,AL502)))</xm:f>
            <xm:f>$Q$12</xm:f>
            <x14:dxf>
              <fill>
                <patternFill>
                  <bgColor theme="9"/>
                </patternFill>
              </fill>
            </x14:dxf>
          </x14:cfRule>
          <x14:cfRule type="containsText" priority="5129" operator="containsText" id="{99E8992E-B017-45AC-AABC-D87B43FC65BF}">
            <xm:f>NOT(ISERROR(SEARCH($Q$12,AL502)))</xm:f>
            <xm:f>$Q$12</xm:f>
            <x14:dxf>
              <fill>
                <patternFill>
                  <bgColor theme="9" tint="0.59996337778862885"/>
                </patternFill>
              </fill>
            </x14:dxf>
          </x14:cfRule>
          <x14:cfRule type="containsText" priority="5127" operator="containsText" id="{F4E6BDFF-C0FF-495F-A1D9-7AAFCDBD8D40}">
            <xm:f>NOT(ISERROR(SEARCH($Q$12,AL502)))</xm:f>
            <xm:f>$Q$12</xm:f>
            <x14:dxf>
              <fill>
                <patternFill>
                  <bgColor rgb="FFFFC000"/>
                </patternFill>
              </fill>
            </x14:dxf>
          </x14:cfRule>
          <x14:cfRule type="containsText" priority="5133" operator="containsText" id="{6293F260-8F54-4271-96E4-6EB1C596399E}">
            <xm:f>NOT(ISERROR(SEARCH($Q$12,AL502)))</xm:f>
            <xm:f>$Q$12</xm:f>
            <x14:dxf>
              <fill>
                <patternFill>
                  <bgColor rgb="FFFF0000"/>
                </patternFill>
              </fill>
            </x14:dxf>
          </x14:cfRule>
          <x14:cfRule type="containsText" priority="5128" operator="containsText" id="{A7BD3AE5-8F3A-412E-894B-04C8C6B0B7F2}">
            <xm:f>NOT(ISERROR(SEARCH($Q$12,AL502)))</xm:f>
            <xm:f>$Q$12</xm:f>
            <x14:dxf>
              <fill>
                <patternFill>
                  <bgColor rgb="FFFF0000"/>
                </patternFill>
              </fill>
            </x14:dxf>
          </x14:cfRule>
          <x14:cfRule type="containsText" priority="5122" operator="containsText" id="{FD049EB4-354F-47C1-A427-D9CE38FF489B}">
            <xm:f>NOT(ISERROR(SEARCH($Q$12,AL502)))</xm:f>
            <xm:f>$Q$12</xm:f>
            <x14:dxf>
              <fill>
                <patternFill>
                  <bgColor theme="9" tint="0.79998168889431442"/>
                </patternFill>
              </fill>
            </x14:dxf>
          </x14:cfRule>
          <x14:cfRule type="containsText" priority="5126" operator="containsText" id="{A0AFD5CB-A7AE-48AE-9AF4-99765B3A266A}">
            <xm:f>NOT(ISERROR(SEARCH($Q$12,AL502)))</xm:f>
            <xm:f>$Q$12</xm:f>
            <x14:dxf>
              <fill>
                <patternFill>
                  <bgColor rgb="FFFFFF00"/>
                </patternFill>
              </fill>
            </x14:dxf>
          </x14:cfRule>
          <x14:cfRule type="containsText" priority="5124" operator="containsText" id="{81EE5F62-53C8-41A7-9CF3-5AA5DCC80875}">
            <xm:f>NOT(ISERROR(SEARCH($Q$12,AL502)))</xm:f>
            <xm:f>$Q$12</xm:f>
            <x14:dxf>
              <fill>
                <patternFill>
                  <bgColor rgb="FF00B050"/>
                </patternFill>
              </fill>
            </x14:dxf>
          </x14:cfRule>
          <x14:cfRule type="containsText" priority="5121" operator="containsText" id="{5952B73C-4A4A-435B-94C2-B5747AD165C4}">
            <xm:f>NOT(ISERROR(SEARCH($Q$12,AL502)))</xm:f>
            <xm:f>$Q$12</xm:f>
            <x14:dxf>
              <fill>
                <patternFill>
                  <bgColor rgb="FFFFFF00"/>
                </patternFill>
              </fill>
            </x14:dxf>
          </x14:cfRule>
          <xm:sqref>AL502</xm:sqref>
        </x14:conditionalFormatting>
        <x14:conditionalFormatting xmlns:xm="http://schemas.microsoft.com/office/excel/2006/main">
          <x14:cfRule type="containsText" priority="5100" operator="containsText" id="{59B03D20-018D-4C8E-AADD-7207245CBAAB}">
            <xm:f>NOT(ISERROR(SEARCH($Q$12,AL512)))</xm:f>
            <xm:f>$Q$12</xm:f>
            <x14:dxf>
              <fill>
                <patternFill>
                  <bgColor rgb="FFFFFF00"/>
                </patternFill>
              </fill>
            </x14:dxf>
          </x14:cfRule>
          <x14:cfRule type="containsText" priority="5098" operator="containsText" id="{23CF7EFC-D668-49BF-BB29-228BF99D6097}">
            <xm:f>NOT(ISERROR(SEARCH($Q$12,AL512)))</xm:f>
            <xm:f>$Q$12</xm:f>
            <x14:dxf>
              <fill>
                <patternFill>
                  <bgColor rgb="FF00B050"/>
                </patternFill>
              </fill>
            </x14:dxf>
          </x14:cfRule>
          <x14:cfRule type="containsText" priority="5097" operator="containsText" id="{5B91851E-425B-449A-8DA3-3C620CA7B3F8}">
            <xm:f>NOT(ISERROR(SEARCH($Q$12,AL512)))</xm:f>
            <xm:f>$Q$12</xm:f>
            <x14:dxf>
              <fill>
                <patternFill>
                  <bgColor theme="9" tint="0.39994506668294322"/>
                </patternFill>
              </fill>
            </x14:dxf>
          </x14:cfRule>
          <x14:cfRule type="containsText" priority="5096" operator="containsText" id="{0C332A97-DF49-4C48-ACE3-044308CA8619}">
            <xm:f>NOT(ISERROR(SEARCH($Q$12,AL512)))</xm:f>
            <xm:f>$Q$12</xm:f>
            <x14:dxf>
              <fill>
                <patternFill>
                  <bgColor theme="9" tint="0.79998168889431442"/>
                </patternFill>
              </fill>
            </x14:dxf>
          </x14:cfRule>
          <x14:cfRule type="containsText" priority="5095" operator="containsText" id="{3E66DEE2-1AA0-4AAC-98F1-9F27D1F47371}">
            <xm:f>NOT(ISERROR(SEARCH($Q$12,AL512)))</xm:f>
            <xm:f>$Q$12</xm:f>
            <x14:dxf>
              <fill>
                <patternFill>
                  <bgColor rgb="FFFFFF00"/>
                </patternFill>
              </fill>
            </x14:dxf>
          </x14:cfRule>
          <x14:cfRule type="containsText" priority="5107" operator="containsText" id="{C4FA2CE3-D656-4E7C-B322-6787DA88A79B}">
            <xm:f>NOT(ISERROR(SEARCH($Q$12,AL512)))</xm:f>
            <xm:f>$Q$12</xm:f>
            <x14:dxf>
              <fill>
                <patternFill>
                  <bgColor rgb="FFFF0000"/>
                </patternFill>
              </fill>
            </x14:dxf>
          </x14:cfRule>
          <x14:cfRule type="containsText" priority="5106" operator="containsText" id="{177262F7-975D-4991-BDF6-716875DED326}">
            <xm:f>NOT(ISERROR(SEARCH($Q$12,AL512)))</xm:f>
            <xm:f>$Q$12</xm:f>
            <x14:dxf>
              <fill>
                <patternFill>
                  <bgColor rgb="FFFFC000"/>
                </patternFill>
              </fill>
            </x14:dxf>
          </x14:cfRule>
          <x14:cfRule type="containsText" priority="5104" operator="containsText" id="{F9B1BE0B-F981-4934-96FC-CC91F20371CC}">
            <xm:f>NOT(ISERROR(SEARCH($Q$12,AL512)))</xm:f>
            <xm:f>$Q$12</xm:f>
            <x14:dxf>
              <fill>
                <patternFill>
                  <bgColor theme="9"/>
                </patternFill>
              </fill>
            </x14:dxf>
          </x14:cfRule>
          <x14:cfRule type="containsText" priority="5103" operator="containsText" id="{EFABFF09-D390-4D3D-8C3E-275D250BDEC2}">
            <xm:f>NOT(ISERROR(SEARCH($Q$12,AL512)))</xm:f>
            <xm:f>$Q$12</xm:f>
            <x14:dxf>
              <fill>
                <patternFill>
                  <bgColor theme="9" tint="0.59996337778862885"/>
                </patternFill>
              </fill>
            </x14:dxf>
          </x14:cfRule>
          <x14:cfRule type="containsText" priority="5102" operator="containsText" id="{10E6FA26-E191-4139-AA7C-94B84C1CCA61}">
            <xm:f>NOT(ISERROR(SEARCH($Q$12,AL512)))</xm:f>
            <xm:f>$Q$12</xm:f>
            <x14:dxf>
              <fill>
                <patternFill>
                  <bgColor rgb="FFFF0000"/>
                </patternFill>
              </fill>
            </x14:dxf>
          </x14:cfRule>
          <x14:cfRule type="containsText" priority="5101" operator="containsText" id="{B012E908-B3E9-47DD-80D9-1FABDC16F198}">
            <xm:f>NOT(ISERROR(SEARCH($Q$12,AL512)))</xm:f>
            <xm:f>$Q$12</xm:f>
            <x14:dxf>
              <fill>
                <patternFill>
                  <bgColor rgb="FFFFC000"/>
                </patternFill>
              </fill>
            </x14:dxf>
          </x14:cfRule>
          <xm:sqref>AL512</xm:sqref>
        </x14:conditionalFormatting>
        <x14:conditionalFormatting xmlns:xm="http://schemas.microsoft.com/office/excel/2006/main">
          <x14:cfRule type="containsText" priority="5072" operator="containsText" id="{1F6085B2-032D-4903-9E3A-BA9B88DCF539}">
            <xm:f>NOT(ISERROR(SEARCH($Q$12,AL522)))</xm:f>
            <xm:f>$Q$12</xm:f>
            <x14:dxf>
              <fill>
                <patternFill>
                  <bgColor rgb="FF00B050"/>
                </patternFill>
              </fill>
            </x14:dxf>
          </x14:cfRule>
          <x14:cfRule type="containsText" priority="5071" operator="containsText" id="{8A5B7A8F-D5C1-4668-BEF7-BD052745E6D7}">
            <xm:f>NOT(ISERROR(SEARCH($Q$12,AL522)))</xm:f>
            <xm:f>$Q$12</xm:f>
            <x14:dxf>
              <fill>
                <patternFill>
                  <bgColor theme="9" tint="0.39994506668294322"/>
                </patternFill>
              </fill>
            </x14:dxf>
          </x14:cfRule>
          <x14:cfRule type="containsText" priority="5070" operator="containsText" id="{36DC9782-4816-41C5-8F80-7FE34763FAF8}">
            <xm:f>NOT(ISERROR(SEARCH($Q$12,AL522)))</xm:f>
            <xm:f>$Q$12</xm:f>
            <x14:dxf>
              <fill>
                <patternFill>
                  <bgColor theme="9" tint="0.79998168889431442"/>
                </patternFill>
              </fill>
            </x14:dxf>
          </x14:cfRule>
          <x14:cfRule type="containsText" priority="5069" operator="containsText" id="{6AACD4C4-E1A4-42B2-94F4-897F923A28C3}">
            <xm:f>NOT(ISERROR(SEARCH($Q$12,AL522)))</xm:f>
            <xm:f>$Q$12</xm:f>
            <x14:dxf>
              <fill>
                <patternFill>
                  <bgColor rgb="FFFFFF00"/>
                </patternFill>
              </fill>
            </x14:dxf>
          </x14:cfRule>
          <x14:cfRule type="containsText" priority="5078" operator="containsText" id="{3F6D02E5-917D-4FD8-A677-5048892679F4}">
            <xm:f>NOT(ISERROR(SEARCH($Q$12,AL522)))</xm:f>
            <xm:f>$Q$12</xm:f>
            <x14:dxf>
              <fill>
                <patternFill>
                  <bgColor theme="9"/>
                </patternFill>
              </fill>
            </x14:dxf>
          </x14:cfRule>
          <x14:cfRule type="containsText" priority="5081" operator="containsText" id="{99A3AAE1-5900-4628-9207-BFC588E0D093}">
            <xm:f>NOT(ISERROR(SEARCH($Q$12,AL522)))</xm:f>
            <xm:f>$Q$12</xm:f>
            <x14:dxf>
              <fill>
                <patternFill>
                  <bgColor rgb="FFFF0000"/>
                </patternFill>
              </fill>
            </x14:dxf>
          </x14:cfRule>
          <x14:cfRule type="containsText" priority="5080" operator="containsText" id="{AEC68E3B-D4C6-43DF-8E30-707A643B5504}">
            <xm:f>NOT(ISERROR(SEARCH($Q$12,AL522)))</xm:f>
            <xm:f>$Q$12</xm:f>
            <x14:dxf>
              <fill>
                <patternFill>
                  <bgColor rgb="FFFFC000"/>
                </patternFill>
              </fill>
            </x14:dxf>
          </x14:cfRule>
          <x14:cfRule type="containsText" priority="5077" operator="containsText" id="{F77C0AF4-BC4D-4B2E-AE47-7490FB82C4E9}">
            <xm:f>NOT(ISERROR(SEARCH($Q$12,AL522)))</xm:f>
            <xm:f>$Q$12</xm:f>
            <x14:dxf>
              <fill>
                <patternFill>
                  <bgColor theme="9" tint="0.59996337778862885"/>
                </patternFill>
              </fill>
            </x14:dxf>
          </x14:cfRule>
          <x14:cfRule type="containsText" priority="5076" operator="containsText" id="{DA2AC2E4-E3F9-4350-BE9D-27C23A78E405}">
            <xm:f>NOT(ISERROR(SEARCH($Q$12,AL522)))</xm:f>
            <xm:f>$Q$12</xm:f>
            <x14:dxf>
              <fill>
                <patternFill>
                  <bgColor rgb="FFFF0000"/>
                </patternFill>
              </fill>
            </x14:dxf>
          </x14:cfRule>
          <x14:cfRule type="containsText" priority="5075" operator="containsText" id="{E2384FF4-001A-49C0-B561-0B2A7681DA46}">
            <xm:f>NOT(ISERROR(SEARCH($Q$12,AL522)))</xm:f>
            <xm:f>$Q$12</xm:f>
            <x14:dxf>
              <fill>
                <patternFill>
                  <bgColor rgb="FFFFC000"/>
                </patternFill>
              </fill>
            </x14:dxf>
          </x14:cfRule>
          <x14:cfRule type="containsText" priority="5074" operator="containsText" id="{795D3AED-9755-40BB-B099-2F0697297358}">
            <xm:f>NOT(ISERROR(SEARCH($Q$12,AL522)))</xm:f>
            <xm:f>$Q$12</xm:f>
            <x14:dxf>
              <fill>
                <patternFill>
                  <bgColor rgb="FFFFFF00"/>
                </patternFill>
              </fill>
            </x14:dxf>
          </x14:cfRule>
          <xm:sqref>AL522</xm:sqref>
        </x14:conditionalFormatting>
        <x14:conditionalFormatting xmlns:xm="http://schemas.microsoft.com/office/excel/2006/main">
          <x14:cfRule type="containsText" priority="4975" operator="containsText" id="{A6AEAF40-753C-4E8F-A02A-109461B760AD}">
            <xm:f>NOT(ISERROR(SEARCH($Q$12,AL532)))</xm:f>
            <xm:f>$Q$12</xm:f>
            <x14:dxf>
              <fill>
                <patternFill>
                  <bgColor rgb="FFFF0000"/>
                </patternFill>
              </fill>
            </x14:dxf>
          </x14:cfRule>
          <x14:cfRule type="containsText" priority="4974" operator="containsText" id="{D1B8A3C0-66F4-471F-8584-35690A04ED03}">
            <xm:f>NOT(ISERROR(SEARCH($Q$12,AL532)))</xm:f>
            <xm:f>$Q$12</xm:f>
            <x14:dxf>
              <fill>
                <patternFill>
                  <bgColor rgb="FFFFC000"/>
                </patternFill>
              </fill>
            </x14:dxf>
          </x14:cfRule>
          <x14:cfRule type="containsText" priority="4972" operator="containsText" id="{B528E372-14B0-4914-BCD3-C32B96532B9A}">
            <xm:f>NOT(ISERROR(SEARCH($Q$12,AL532)))</xm:f>
            <xm:f>$Q$12</xm:f>
            <x14:dxf>
              <fill>
                <patternFill>
                  <bgColor theme="9"/>
                </patternFill>
              </fill>
            </x14:dxf>
          </x14:cfRule>
          <x14:cfRule type="containsText" priority="4971" operator="containsText" id="{115ABB8B-1295-4DF1-B2AC-F8ABADC1BFA5}">
            <xm:f>NOT(ISERROR(SEARCH($Q$12,AL532)))</xm:f>
            <xm:f>$Q$12</xm:f>
            <x14:dxf>
              <fill>
                <patternFill>
                  <bgColor theme="9" tint="0.59996337778862885"/>
                </patternFill>
              </fill>
            </x14:dxf>
          </x14:cfRule>
          <x14:cfRule type="containsText" priority="4970" operator="containsText" id="{24CE5D72-324C-44D6-9961-EC7F4F7BFCFF}">
            <xm:f>NOT(ISERROR(SEARCH($Q$12,AL532)))</xm:f>
            <xm:f>$Q$12</xm:f>
            <x14:dxf>
              <fill>
                <patternFill>
                  <bgColor rgb="FFFF0000"/>
                </patternFill>
              </fill>
            </x14:dxf>
          </x14:cfRule>
          <x14:cfRule type="containsText" priority="4969" operator="containsText" id="{640CBB4E-CE99-45B7-8C54-23190F857EE9}">
            <xm:f>NOT(ISERROR(SEARCH($Q$12,AL532)))</xm:f>
            <xm:f>$Q$12</xm:f>
            <x14:dxf>
              <fill>
                <patternFill>
                  <bgColor rgb="FFFFC000"/>
                </patternFill>
              </fill>
            </x14:dxf>
          </x14:cfRule>
          <x14:cfRule type="containsText" priority="4968" operator="containsText" id="{D895D85E-D838-4EBD-BDC9-4586DEF7BDF6}">
            <xm:f>NOT(ISERROR(SEARCH($Q$12,AL532)))</xm:f>
            <xm:f>$Q$12</xm:f>
            <x14:dxf>
              <fill>
                <patternFill>
                  <bgColor rgb="FFFFFF00"/>
                </patternFill>
              </fill>
            </x14:dxf>
          </x14:cfRule>
          <x14:cfRule type="containsText" priority="4967" operator="containsText" id="{B8B80CF3-F7F3-4571-A644-AEB3DBF87545}">
            <xm:f>NOT(ISERROR(SEARCH($Q$12,AL532)))</xm:f>
            <xm:f>$Q$12</xm:f>
            <x14:dxf>
              <fill>
                <patternFill>
                  <bgColor rgb="FF00B050"/>
                </patternFill>
              </fill>
            </x14:dxf>
          </x14:cfRule>
          <x14:cfRule type="containsText" priority="4966" operator="containsText" id="{AC0E18B1-76A1-4E17-953D-E468FAA8763A}">
            <xm:f>NOT(ISERROR(SEARCH($Q$12,AL532)))</xm:f>
            <xm:f>$Q$12</xm:f>
            <x14:dxf>
              <fill>
                <patternFill>
                  <bgColor theme="9" tint="0.39994506668294322"/>
                </patternFill>
              </fill>
            </x14:dxf>
          </x14:cfRule>
          <x14:cfRule type="containsText" priority="4965" operator="containsText" id="{4D307FA5-1455-4E3B-8220-C51B0C6F2385}">
            <xm:f>NOT(ISERROR(SEARCH($Q$12,AL532)))</xm:f>
            <xm:f>$Q$12</xm:f>
            <x14:dxf>
              <fill>
                <patternFill>
                  <bgColor theme="9" tint="0.79998168889431442"/>
                </patternFill>
              </fill>
            </x14:dxf>
          </x14:cfRule>
          <x14:cfRule type="containsText" priority="4973" operator="containsText" id="{07354C7A-8EE7-4778-BBCB-D6C2E8C33C5E}">
            <xm:f>NOT(ISERROR(SEARCH($Q$12,AL532)))</xm:f>
            <xm:f>$Q$12</xm:f>
            <x14:dxf>
              <fill>
                <patternFill>
                  <bgColor rgb="FFFFFF00"/>
                </patternFill>
              </fill>
            </x14:dxf>
          </x14:cfRule>
          <xm:sqref>AL532</xm:sqref>
        </x14:conditionalFormatting>
        <x14:conditionalFormatting xmlns:xm="http://schemas.microsoft.com/office/excel/2006/main">
          <x14:cfRule type="containsText" priority="4892" operator="containsText" id="{BAAADAC1-065B-4943-9281-31D2758C3829}">
            <xm:f>NOT(ISERROR(SEARCH($Q$12,AL542)))</xm:f>
            <xm:f>$Q$12</xm:f>
            <x14:dxf>
              <fill>
                <patternFill>
                  <bgColor theme="9"/>
                </patternFill>
              </fill>
            </x14:dxf>
          </x14:cfRule>
          <x14:cfRule type="containsText" priority="4891" operator="containsText" id="{64C99C1A-0E47-4DE7-AF89-59C7675600CF}">
            <xm:f>NOT(ISERROR(SEARCH($Q$12,AL542)))</xm:f>
            <xm:f>$Q$12</xm:f>
            <x14:dxf>
              <fill>
                <patternFill>
                  <bgColor theme="9" tint="0.59996337778862885"/>
                </patternFill>
              </fill>
            </x14:dxf>
          </x14:cfRule>
          <x14:cfRule type="containsText" priority="4890" operator="containsText" id="{DC92D39F-1DE7-49C1-A92F-E28447E2306A}">
            <xm:f>NOT(ISERROR(SEARCH($Q$12,AL542)))</xm:f>
            <xm:f>$Q$12</xm:f>
            <x14:dxf>
              <fill>
                <patternFill>
                  <bgColor rgb="FFFF0000"/>
                </patternFill>
              </fill>
            </x14:dxf>
          </x14:cfRule>
          <x14:cfRule type="containsText" priority="4889" operator="containsText" id="{209624A8-4830-4DB9-9D23-6FC0E5F4CE57}">
            <xm:f>NOT(ISERROR(SEARCH($Q$12,AL542)))</xm:f>
            <xm:f>$Q$12</xm:f>
            <x14:dxf>
              <fill>
                <patternFill>
                  <bgColor rgb="FFFFC000"/>
                </patternFill>
              </fill>
            </x14:dxf>
          </x14:cfRule>
          <x14:cfRule type="containsText" priority="4888" operator="containsText" id="{C95D4824-7541-4CBF-A5BB-2FC31BF806D5}">
            <xm:f>NOT(ISERROR(SEARCH($Q$12,AL542)))</xm:f>
            <xm:f>$Q$12</xm:f>
            <x14:dxf>
              <fill>
                <patternFill>
                  <bgColor rgb="FFFFFF00"/>
                </patternFill>
              </fill>
            </x14:dxf>
          </x14:cfRule>
          <x14:cfRule type="containsText" priority="4894" operator="containsText" id="{563D95B4-255B-46A8-BAE1-71941268FFC2}">
            <xm:f>NOT(ISERROR(SEARCH($Q$12,AL542)))</xm:f>
            <xm:f>$Q$12</xm:f>
            <x14:dxf>
              <fill>
                <patternFill>
                  <bgColor rgb="FFFFC000"/>
                </patternFill>
              </fill>
            </x14:dxf>
          </x14:cfRule>
          <x14:cfRule type="containsText" priority="4895" operator="containsText" id="{2F26069A-C8F0-412F-87CC-BE8D825E98F8}">
            <xm:f>NOT(ISERROR(SEARCH($Q$12,AL542)))</xm:f>
            <xm:f>$Q$12</xm:f>
            <x14:dxf>
              <fill>
                <patternFill>
                  <bgColor rgb="FFFF0000"/>
                </patternFill>
              </fill>
            </x14:dxf>
          </x14:cfRule>
          <x14:cfRule type="containsText" priority="4885" operator="containsText" id="{BD0D2F17-E6BE-45B4-86E7-7002ACD18355}">
            <xm:f>NOT(ISERROR(SEARCH($Q$12,AL542)))</xm:f>
            <xm:f>$Q$12</xm:f>
            <x14:dxf>
              <fill>
                <patternFill>
                  <bgColor theme="9" tint="0.39994506668294322"/>
                </patternFill>
              </fill>
            </x14:dxf>
          </x14:cfRule>
          <x14:cfRule type="containsText" priority="4884" operator="containsText" id="{E8A9D871-571F-4946-8E77-AF2900FFDAE8}">
            <xm:f>NOT(ISERROR(SEARCH($Q$12,AL542)))</xm:f>
            <xm:f>$Q$12</xm:f>
            <x14:dxf>
              <fill>
                <patternFill>
                  <bgColor theme="9" tint="0.79998168889431442"/>
                </patternFill>
              </fill>
            </x14:dxf>
          </x14:cfRule>
          <x14:cfRule type="containsText" priority="4883" operator="containsText" id="{E58D44A5-E666-4708-85A2-AF888987A516}">
            <xm:f>NOT(ISERROR(SEARCH($Q$12,AL542)))</xm:f>
            <xm:f>$Q$12</xm:f>
            <x14:dxf>
              <fill>
                <patternFill>
                  <bgColor rgb="FFFFFF00"/>
                </patternFill>
              </fill>
            </x14:dxf>
          </x14:cfRule>
          <x14:cfRule type="containsText" priority="4886" operator="containsText" id="{46FE3C00-2C5B-4432-BB48-915C4342DDA1}">
            <xm:f>NOT(ISERROR(SEARCH($Q$12,AL542)))</xm:f>
            <xm:f>$Q$12</xm:f>
            <x14:dxf>
              <fill>
                <patternFill>
                  <bgColor rgb="FF00B050"/>
                </patternFill>
              </fill>
            </x14:dxf>
          </x14:cfRule>
          <xm:sqref>AL542</xm:sqref>
        </x14:conditionalFormatting>
        <x14:conditionalFormatting xmlns:xm="http://schemas.microsoft.com/office/excel/2006/main">
          <x14:cfRule type="containsText" priority="4730" operator="containsText" id="{79D568FB-90B0-433E-9744-EEE3A1AE0799}">
            <xm:f>NOT(ISERROR(SEARCH($Q$12,AL552)))</xm:f>
            <xm:f>$Q$12</xm:f>
            <x14:dxf>
              <fill>
                <patternFill>
                  <bgColor theme="9" tint="0.79998168889431442"/>
                </patternFill>
              </fill>
            </x14:dxf>
          </x14:cfRule>
          <x14:cfRule type="containsText" priority="4731" operator="containsText" id="{319151FF-75E0-4082-B328-3125B8C24FDD}">
            <xm:f>NOT(ISERROR(SEARCH($Q$12,AL552)))</xm:f>
            <xm:f>$Q$12</xm:f>
            <x14:dxf>
              <fill>
                <patternFill>
                  <bgColor theme="9" tint="0.39994506668294322"/>
                </patternFill>
              </fill>
            </x14:dxf>
          </x14:cfRule>
          <x14:cfRule type="containsText" priority="4732" operator="containsText" id="{FA839A2E-84CB-4611-9CFD-ED0869869FB9}">
            <xm:f>NOT(ISERROR(SEARCH($Q$12,AL552)))</xm:f>
            <xm:f>$Q$12</xm:f>
            <x14:dxf>
              <fill>
                <patternFill>
                  <bgColor rgb="FF00B050"/>
                </patternFill>
              </fill>
            </x14:dxf>
          </x14:cfRule>
          <x14:cfRule type="containsText" priority="4734" operator="containsText" id="{A20E35DA-EF54-4B39-9041-B775EB3098BA}">
            <xm:f>NOT(ISERROR(SEARCH($Q$12,AL552)))</xm:f>
            <xm:f>$Q$12</xm:f>
            <x14:dxf>
              <fill>
                <patternFill>
                  <bgColor rgb="FFFFFF00"/>
                </patternFill>
              </fill>
            </x14:dxf>
          </x14:cfRule>
          <x14:cfRule type="containsText" priority="4735" operator="containsText" id="{A5AB4845-18A7-4E43-87D4-FBFEC4570BC4}">
            <xm:f>NOT(ISERROR(SEARCH($Q$12,AL552)))</xm:f>
            <xm:f>$Q$12</xm:f>
            <x14:dxf>
              <fill>
                <patternFill>
                  <bgColor rgb="FFFFC000"/>
                </patternFill>
              </fill>
            </x14:dxf>
          </x14:cfRule>
          <x14:cfRule type="containsText" priority="4736" operator="containsText" id="{7A4E9030-8609-49F1-B87D-F22AF4AF0BE8}">
            <xm:f>NOT(ISERROR(SEARCH($Q$12,AL552)))</xm:f>
            <xm:f>$Q$12</xm:f>
            <x14:dxf>
              <fill>
                <patternFill>
                  <bgColor rgb="FFFF0000"/>
                </patternFill>
              </fill>
            </x14:dxf>
          </x14:cfRule>
          <x14:cfRule type="containsText" priority="4737" operator="containsText" id="{CE71E6BD-1333-4633-AFD1-99DC271859CA}">
            <xm:f>NOT(ISERROR(SEARCH($Q$12,AL552)))</xm:f>
            <xm:f>$Q$12</xm:f>
            <x14:dxf>
              <fill>
                <patternFill>
                  <bgColor theme="9" tint="0.59996337778862885"/>
                </patternFill>
              </fill>
            </x14:dxf>
          </x14:cfRule>
          <x14:cfRule type="containsText" priority="4738" operator="containsText" id="{DC062487-E3AF-44BD-BE7B-D1EAAE6E09B4}">
            <xm:f>NOT(ISERROR(SEARCH($Q$12,AL552)))</xm:f>
            <xm:f>$Q$12</xm:f>
            <x14:dxf>
              <fill>
                <patternFill>
                  <bgColor theme="9"/>
                </patternFill>
              </fill>
            </x14:dxf>
          </x14:cfRule>
          <x14:cfRule type="containsText" priority="4740" operator="containsText" id="{B29422E4-75F4-41C8-99CF-BE1C9C170A1C}">
            <xm:f>NOT(ISERROR(SEARCH($Q$12,AL552)))</xm:f>
            <xm:f>$Q$12</xm:f>
            <x14:dxf>
              <fill>
                <patternFill>
                  <bgColor rgb="FFFFC000"/>
                </patternFill>
              </fill>
            </x14:dxf>
          </x14:cfRule>
          <x14:cfRule type="containsText" priority="4741" operator="containsText" id="{14CB85AB-FE4B-4173-83E5-9076C5E5057A}">
            <xm:f>NOT(ISERROR(SEARCH($Q$12,AL552)))</xm:f>
            <xm:f>$Q$12</xm:f>
            <x14:dxf>
              <fill>
                <patternFill>
                  <bgColor rgb="FFFF0000"/>
                </patternFill>
              </fill>
            </x14:dxf>
          </x14:cfRule>
          <x14:cfRule type="containsText" priority="4729" operator="containsText" id="{34BD265F-5E0F-4CC6-8885-C56E177F5551}">
            <xm:f>NOT(ISERROR(SEARCH($Q$12,AL552)))</xm:f>
            <xm:f>$Q$12</xm:f>
            <x14:dxf>
              <fill>
                <patternFill>
                  <bgColor rgb="FFFFFF00"/>
                </patternFill>
              </fill>
            </x14:dxf>
          </x14:cfRule>
          <xm:sqref>AL552</xm:sqref>
        </x14:conditionalFormatting>
        <x14:conditionalFormatting xmlns:xm="http://schemas.microsoft.com/office/excel/2006/main">
          <x14:cfRule type="containsText" priority="4559" operator="containsText" id="{7B5D9182-20D3-40B1-99F8-E7DE8F927592}">
            <xm:f>NOT(ISERROR(SEARCH($Q$12,AL562)))</xm:f>
            <xm:f>$Q$12</xm:f>
            <x14:dxf>
              <fill>
                <patternFill>
                  <bgColor rgb="FFFFC000"/>
                </patternFill>
              </fill>
            </x14:dxf>
          </x14:cfRule>
          <x14:cfRule type="containsText" priority="4558" operator="containsText" id="{DC60E9A7-C059-4802-809F-E019EA227399}">
            <xm:f>NOT(ISERROR(SEARCH($Q$12,AL562)))</xm:f>
            <xm:f>$Q$12</xm:f>
            <x14:dxf>
              <fill>
                <patternFill>
                  <bgColor rgb="FFFFFF00"/>
                </patternFill>
              </fill>
            </x14:dxf>
          </x14:cfRule>
          <x14:cfRule type="containsText" priority="4556" operator="containsText" id="{4A8919AA-42ED-4B7F-A1CB-9F84A37E3031}">
            <xm:f>NOT(ISERROR(SEARCH($Q$12,AL562)))</xm:f>
            <xm:f>$Q$12</xm:f>
            <x14:dxf>
              <fill>
                <patternFill>
                  <bgColor rgb="FF00B050"/>
                </patternFill>
              </fill>
            </x14:dxf>
          </x14:cfRule>
          <x14:cfRule type="containsText" priority="4555" operator="containsText" id="{6703F0A4-0141-4EF3-BC35-FADE83597DA8}">
            <xm:f>NOT(ISERROR(SEARCH($Q$12,AL562)))</xm:f>
            <xm:f>$Q$12</xm:f>
            <x14:dxf>
              <fill>
                <patternFill>
                  <bgColor theme="9" tint="0.39994506668294322"/>
                </patternFill>
              </fill>
            </x14:dxf>
          </x14:cfRule>
          <x14:cfRule type="containsText" priority="4565" operator="containsText" id="{4F3D2491-53D7-41DD-8369-5D5DDD773D55}">
            <xm:f>NOT(ISERROR(SEARCH($Q$12,AL562)))</xm:f>
            <xm:f>$Q$12</xm:f>
            <x14:dxf>
              <fill>
                <patternFill>
                  <bgColor rgb="FFFF0000"/>
                </patternFill>
              </fill>
            </x14:dxf>
          </x14:cfRule>
          <x14:cfRule type="containsText" priority="4553" operator="containsText" id="{CA30C7F1-9B12-469A-86F4-32C83DE2C2EF}">
            <xm:f>NOT(ISERROR(SEARCH($Q$12,AL562)))</xm:f>
            <xm:f>$Q$12</xm:f>
            <x14:dxf>
              <fill>
                <patternFill>
                  <bgColor rgb="FFFFFF00"/>
                </patternFill>
              </fill>
            </x14:dxf>
          </x14:cfRule>
          <x14:cfRule type="containsText" priority="4564" operator="containsText" id="{D3B1AC58-7D7A-432A-8018-1F0BA4DA3D3E}">
            <xm:f>NOT(ISERROR(SEARCH($Q$12,AL562)))</xm:f>
            <xm:f>$Q$12</xm:f>
            <x14:dxf>
              <fill>
                <patternFill>
                  <bgColor rgb="FFFFC000"/>
                </patternFill>
              </fill>
            </x14:dxf>
          </x14:cfRule>
          <x14:cfRule type="containsText" priority="4562" operator="containsText" id="{91AB931C-60AA-4B99-B2A0-7DE5CCCDCDC1}">
            <xm:f>NOT(ISERROR(SEARCH($Q$12,AL562)))</xm:f>
            <xm:f>$Q$12</xm:f>
            <x14:dxf>
              <fill>
                <patternFill>
                  <bgColor theme="9"/>
                </patternFill>
              </fill>
            </x14:dxf>
          </x14:cfRule>
          <x14:cfRule type="containsText" priority="4554" operator="containsText" id="{07D75207-3D64-4649-A1A3-F52578680A92}">
            <xm:f>NOT(ISERROR(SEARCH($Q$12,AL562)))</xm:f>
            <xm:f>$Q$12</xm:f>
            <x14:dxf>
              <fill>
                <patternFill>
                  <bgColor theme="9" tint="0.79998168889431442"/>
                </patternFill>
              </fill>
            </x14:dxf>
          </x14:cfRule>
          <x14:cfRule type="containsText" priority="4561" operator="containsText" id="{758F54C8-8D5A-4A0A-BA62-17E14EE35755}">
            <xm:f>NOT(ISERROR(SEARCH($Q$12,AL562)))</xm:f>
            <xm:f>$Q$12</xm:f>
            <x14:dxf>
              <fill>
                <patternFill>
                  <bgColor theme="9" tint="0.59996337778862885"/>
                </patternFill>
              </fill>
            </x14:dxf>
          </x14:cfRule>
          <x14:cfRule type="containsText" priority="4560" operator="containsText" id="{DD9FF1EC-B55E-4B8B-AD34-E003CB9BD441}">
            <xm:f>NOT(ISERROR(SEARCH($Q$12,AL562)))</xm:f>
            <xm:f>$Q$12</xm:f>
            <x14:dxf>
              <fill>
                <patternFill>
                  <bgColor rgb="FFFF0000"/>
                </patternFill>
              </fill>
            </x14:dxf>
          </x14:cfRule>
          <xm:sqref>AL562</xm:sqref>
        </x14:conditionalFormatting>
        <x14:conditionalFormatting xmlns:xm="http://schemas.microsoft.com/office/excel/2006/main">
          <x14:cfRule type="containsText" priority="4529" operator="containsText" id="{84EE5A79-D768-416A-A7E3-279C0CC2C98A}">
            <xm:f>NOT(ISERROR(SEARCH($Q$12,AL572)))</xm:f>
            <xm:f>$Q$12</xm:f>
            <x14:dxf>
              <fill>
                <patternFill>
                  <bgColor theme="9" tint="0.39994506668294322"/>
                </patternFill>
              </fill>
            </x14:dxf>
          </x14:cfRule>
          <x14:cfRule type="containsText" priority="4530" operator="containsText" id="{95FC78B6-2304-4D1F-A4ED-BAEFD7BAFB6F}">
            <xm:f>NOT(ISERROR(SEARCH($Q$12,AL572)))</xm:f>
            <xm:f>$Q$12</xm:f>
            <x14:dxf>
              <fill>
                <patternFill>
                  <bgColor rgb="FF00B050"/>
                </patternFill>
              </fill>
            </x14:dxf>
          </x14:cfRule>
          <x14:cfRule type="containsText" priority="4535" operator="containsText" id="{8076B24E-53F3-45DD-9E29-356E6BD1D0E5}">
            <xm:f>NOT(ISERROR(SEARCH($Q$12,AL572)))</xm:f>
            <xm:f>$Q$12</xm:f>
            <x14:dxf>
              <fill>
                <patternFill>
                  <bgColor theme="9" tint="0.59996337778862885"/>
                </patternFill>
              </fill>
            </x14:dxf>
          </x14:cfRule>
          <x14:cfRule type="containsText" priority="4527" operator="containsText" id="{B146C3ED-1F9D-4EBB-9BB8-FF35073655DA}">
            <xm:f>NOT(ISERROR(SEARCH($Q$12,AL572)))</xm:f>
            <xm:f>$Q$12</xm:f>
            <x14:dxf>
              <fill>
                <patternFill>
                  <bgColor rgb="FFFFFF00"/>
                </patternFill>
              </fill>
            </x14:dxf>
          </x14:cfRule>
          <x14:cfRule type="containsText" priority="4536" operator="containsText" id="{21889E5F-FBA9-407C-B891-31CC53A1A626}">
            <xm:f>NOT(ISERROR(SEARCH($Q$12,AL572)))</xm:f>
            <xm:f>$Q$12</xm:f>
            <x14:dxf>
              <fill>
                <patternFill>
                  <bgColor theme="9"/>
                </patternFill>
              </fill>
            </x14:dxf>
          </x14:cfRule>
          <x14:cfRule type="containsText" priority="4538" operator="containsText" id="{811FFC2D-6E1D-44A9-B435-F038784593F1}">
            <xm:f>NOT(ISERROR(SEARCH($Q$12,AL572)))</xm:f>
            <xm:f>$Q$12</xm:f>
            <x14:dxf>
              <fill>
                <patternFill>
                  <bgColor rgb="FFFFC000"/>
                </patternFill>
              </fill>
            </x14:dxf>
          </x14:cfRule>
          <x14:cfRule type="containsText" priority="4539" operator="containsText" id="{DC9157E7-15CC-4941-9ADA-6688157CE403}">
            <xm:f>NOT(ISERROR(SEARCH($Q$12,AL572)))</xm:f>
            <xm:f>$Q$12</xm:f>
            <x14:dxf>
              <fill>
                <patternFill>
                  <bgColor rgb="FFFF0000"/>
                </patternFill>
              </fill>
            </x14:dxf>
          </x14:cfRule>
          <x14:cfRule type="containsText" priority="4534" operator="containsText" id="{3C70584E-899A-4621-9E4B-B95F7A7651D8}">
            <xm:f>NOT(ISERROR(SEARCH($Q$12,AL572)))</xm:f>
            <xm:f>$Q$12</xm:f>
            <x14:dxf>
              <fill>
                <patternFill>
                  <bgColor rgb="FFFF0000"/>
                </patternFill>
              </fill>
            </x14:dxf>
          </x14:cfRule>
          <x14:cfRule type="containsText" priority="4533" operator="containsText" id="{25408270-F0BB-446D-A98B-B90F38682F7B}">
            <xm:f>NOT(ISERROR(SEARCH($Q$12,AL572)))</xm:f>
            <xm:f>$Q$12</xm:f>
            <x14:dxf>
              <fill>
                <patternFill>
                  <bgColor rgb="FFFFC000"/>
                </patternFill>
              </fill>
            </x14:dxf>
          </x14:cfRule>
          <x14:cfRule type="containsText" priority="4528" operator="containsText" id="{4CEC056B-3E29-4946-95B0-80A03C673365}">
            <xm:f>NOT(ISERROR(SEARCH($Q$12,AL572)))</xm:f>
            <xm:f>$Q$12</xm:f>
            <x14:dxf>
              <fill>
                <patternFill>
                  <bgColor theme="9" tint="0.79998168889431442"/>
                </patternFill>
              </fill>
            </x14:dxf>
          </x14:cfRule>
          <x14:cfRule type="containsText" priority="4532" operator="containsText" id="{8244DC0F-E065-4FDA-A154-53CCBE133FE0}">
            <xm:f>NOT(ISERROR(SEARCH($Q$12,AL572)))</xm:f>
            <xm:f>$Q$12</xm:f>
            <x14:dxf>
              <fill>
                <patternFill>
                  <bgColor rgb="FFFFFF00"/>
                </patternFill>
              </fill>
            </x14:dxf>
          </x14:cfRule>
          <xm:sqref>AL572</xm:sqref>
        </x14:conditionalFormatting>
        <x14:conditionalFormatting xmlns:xm="http://schemas.microsoft.com/office/excel/2006/main">
          <x14:cfRule type="containsText" priority="4226" operator="containsText" id="{74BEDAA2-0ABF-47DF-992B-4521B6E7BD54}">
            <xm:f>NOT(ISERROR(SEARCH($Q$12,AL582)))</xm:f>
            <xm:f>$Q$12</xm:f>
            <x14:dxf>
              <fill>
                <patternFill>
                  <bgColor rgb="FF00B050"/>
                </patternFill>
              </fill>
            </x14:dxf>
          </x14:cfRule>
          <x14:cfRule type="containsText" priority="4230" operator="containsText" id="{A5A2BD5E-489F-4A46-8691-B464D45E7F7E}">
            <xm:f>NOT(ISERROR(SEARCH($Q$12,AL582)))</xm:f>
            <xm:f>$Q$12</xm:f>
            <x14:dxf>
              <fill>
                <patternFill>
                  <bgColor rgb="FFFF0000"/>
                </patternFill>
              </fill>
            </x14:dxf>
          </x14:cfRule>
          <x14:cfRule type="containsText" priority="4224" operator="containsText" id="{5269F2D4-43E0-43A2-9A96-36C530635561}">
            <xm:f>NOT(ISERROR(SEARCH($Q$12,AL582)))</xm:f>
            <xm:f>$Q$12</xm:f>
            <x14:dxf>
              <fill>
                <patternFill>
                  <bgColor theme="9" tint="0.79998168889431442"/>
                </patternFill>
              </fill>
            </x14:dxf>
          </x14:cfRule>
          <x14:cfRule type="containsText" priority="4223" operator="containsText" id="{D666FBDB-1EFB-4ABE-A3FF-9824C01ED351}">
            <xm:f>NOT(ISERROR(SEARCH($Q$12,AL582)))</xm:f>
            <xm:f>$Q$12</xm:f>
            <x14:dxf>
              <fill>
                <patternFill>
                  <bgColor rgb="FFFFFF00"/>
                </patternFill>
              </fill>
            </x14:dxf>
          </x14:cfRule>
          <x14:cfRule type="containsText" priority="4231" operator="containsText" id="{AEE1D89F-82D3-441D-BAAB-83A68CE090F1}">
            <xm:f>NOT(ISERROR(SEARCH($Q$12,AL582)))</xm:f>
            <xm:f>$Q$12</xm:f>
            <x14:dxf>
              <fill>
                <patternFill>
                  <bgColor theme="9" tint="0.59996337778862885"/>
                </patternFill>
              </fill>
            </x14:dxf>
          </x14:cfRule>
          <x14:cfRule type="containsText" priority="4225" operator="containsText" id="{02110EA4-0E70-4ECB-9E75-224C54C6D8DA}">
            <xm:f>NOT(ISERROR(SEARCH($Q$12,AL582)))</xm:f>
            <xm:f>$Q$12</xm:f>
            <x14:dxf>
              <fill>
                <patternFill>
                  <bgColor theme="9" tint="0.39994506668294322"/>
                </patternFill>
              </fill>
            </x14:dxf>
          </x14:cfRule>
          <x14:cfRule type="containsText" priority="4228" operator="containsText" id="{D07F3071-BEC1-4022-ABDC-D316E23BCD74}">
            <xm:f>NOT(ISERROR(SEARCH($Q$12,AL582)))</xm:f>
            <xm:f>$Q$12</xm:f>
            <x14:dxf>
              <fill>
                <patternFill>
                  <bgColor rgb="FFFFFF00"/>
                </patternFill>
              </fill>
            </x14:dxf>
          </x14:cfRule>
          <x14:cfRule type="containsText" priority="4229" operator="containsText" id="{8B5B795A-7006-4DFC-9F73-9F99A53335AD}">
            <xm:f>NOT(ISERROR(SEARCH($Q$12,AL582)))</xm:f>
            <xm:f>$Q$12</xm:f>
            <x14:dxf>
              <fill>
                <patternFill>
                  <bgColor rgb="FFFFC000"/>
                </patternFill>
              </fill>
            </x14:dxf>
          </x14:cfRule>
          <x14:cfRule type="containsText" priority="4232" operator="containsText" id="{137762FE-BCC9-4783-8632-CBBB4C38C2A5}">
            <xm:f>NOT(ISERROR(SEARCH($Q$12,AL582)))</xm:f>
            <xm:f>$Q$12</xm:f>
            <x14:dxf>
              <fill>
                <patternFill>
                  <bgColor theme="9"/>
                </patternFill>
              </fill>
            </x14:dxf>
          </x14:cfRule>
          <x14:cfRule type="containsText" priority="4234" operator="containsText" id="{8EA330A6-F8B9-4122-9A2E-CB7F0AB40DEC}">
            <xm:f>NOT(ISERROR(SEARCH($Q$12,AL582)))</xm:f>
            <xm:f>$Q$12</xm:f>
            <x14:dxf>
              <fill>
                <patternFill>
                  <bgColor rgb="FFFFC000"/>
                </patternFill>
              </fill>
            </x14:dxf>
          </x14:cfRule>
          <x14:cfRule type="containsText" priority="4235" operator="containsText" id="{D52BE447-9AD2-4F5F-9EAA-BF4BE19C3DA2}">
            <xm:f>NOT(ISERROR(SEARCH($Q$12,AL582)))</xm:f>
            <xm:f>$Q$12</xm:f>
            <x14:dxf>
              <fill>
                <patternFill>
                  <bgColor rgb="FFFF0000"/>
                </patternFill>
              </fill>
            </x14:dxf>
          </x14:cfRule>
          <xm:sqref>AL582</xm:sqref>
        </x14:conditionalFormatting>
        <x14:conditionalFormatting xmlns:xm="http://schemas.microsoft.com/office/excel/2006/main">
          <x14:cfRule type="containsText" priority="4202" operator="containsText" id="{B714B3DB-91CE-4956-BC76-C1D3E8C81F46}">
            <xm:f>NOT(ISERROR(SEARCH($Q$12,AL592)))</xm:f>
            <xm:f>$Q$12</xm:f>
            <x14:dxf>
              <fill>
                <patternFill>
                  <bgColor rgb="FFFFFF00"/>
                </patternFill>
              </fill>
            </x14:dxf>
          </x14:cfRule>
          <x14:cfRule type="containsText" priority="4198" operator="containsText" id="{1461C50D-3F33-4B93-9496-94AC7DA76F74}">
            <xm:f>NOT(ISERROR(SEARCH($Q$12,AL592)))</xm:f>
            <xm:f>$Q$12</xm:f>
            <x14:dxf>
              <fill>
                <patternFill>
                  <bgColor theme="9" tint="0.79998168889431442"/>
                </patternFill>
              </fill>
            </x14:dxf>
          </x14:cfRule>
          <x14:cfRule type="containsText" priority="4200" operator="containsText" id="{15A22AC8-3DAA-41FF-9AFC-C924A1DD3035}">
            <xm:f>NOT(ISERROR(SEARCH($Q$12,AL592)))</xm:f>
            <xm:f>$Q$12</xm:f>
            <x14:dxf>
              <fill>
                <patternFill>
                  <bgColor rgb="FF00B050"/>
                </patternFill>
              </fill>
            </x14:dxf>
          </x14:cfRule>
          <x14:cfRule type="containsText" priority="4199" operator="containsText" id="{4C7D1DEF-B52B-4518-A45A-6F957FF9ED15}">
            <xm:f>NOT(ISERROR(SEARCH($Q$12,AL592)))</xm:f>
            <xm:f>$Q$12</xm:f>
            <x14:dxf>
              <fill>
                <patternFill>
                  <bgColor theme="9" tint="0.39994506668294322"/>
                </patternFill>
              </fill>
            </x14:dxf>
          </x14:cfRule>
          <x14:cfRule type="containsText" priority="4209" operator="containsText" id="{5BCE3A8F-38EB-4906-9A8B-3FAC0960CE5A}">
            <xm:f>NOT(ISERROR(SEARCH($Q$12,AL592)))</xm:f>
            <xm:f>$Q$12</xm:f>
            <x14:dxf>
              <fill>
                <patternFill>
                  <bgColor rgb="FFFF0000"/>
                </patternFill>
              </fill>
            </x14:dxf>
          </x14:cfRule>
          <x14:cfRule type="containsText" priority="4208" operator="containsText" id="{9351B30B-FC88-44F9-9398-9A85B190CC2C}">
            <xm:f>NOT(ISERROR(SEARCH($Q$12,AL592)))</xm:f>
            <xm:f>$Q$12</xm:f>
            <x14:dxf>
              <fill>
                <patternFill>
                  <bgColor rgb="FFFFC000"/>
                </patternFill>
              </fill>
            </x14:dxf>
          </x14:cfRule>
          <x14:cfRule type="containsText" priority="4206" operator="containsText" id="{772A4C2C-16E1-4AE1-965A-51A30E1E43B8}">
            <xm:f>NOT(ISERROR(SEARCH($Q$12,AL592)))</xm:f>
            <xm:f>$Q$12</xm:f>
            <x14:dxf>
              <fill>
                <patternFill>
                  <bgColor theme="9"/>
                </patternFill>
              </fill>
            </x14:dxf>
          </x14:cfRule>
          <x14:cfRule type="containsText" priority="4205" operator="containsText" id="{77B7801B-F8AE-4C62-9A1F-A78B5A142AB6}">
            <xm:f>NOT(ISERROR(SEARCH($Q$12,AL592)))</xm:f>
            <xm:f>$Q$12</xm:f>
            <x14:dxf>
              <fill>
                <patternFill>
                  <bgColor theme="9" tint="0.59996337778862885"/>
                </patternFill>
              </fill>
            </x14:dxf>
          </x14:cfRule>
          <x14:cfRule type="containsText" priority="4204" operator="containsText" id="{50D24964-01B0-4C37-BF60-234A7D4F6BDE}">
            <xm:f>NOT(ISERROR(SEARCH($Q$12,AL592)))</xm:f>
            <xm:f>$Q$12</xm:f>
            <x14:dxf>
              <fill>
                <patternFill>
                  <bgColor rgb="FFFF0000"/>
                </patternFill>
              </fill>
            </x14:dxf>
          </x14:cfRule>
          <x14:cfRule type="containsText" priority="4203" operator="containsText" id="{F856E0C3-2315-4A42-B038-056EB4B637B2}">
            <xm:f>NOT(ISERROR(SEARCH($Q$12,AL592)))</xm:f>
            <xm:f>$Q$12</xm:f>
            <x14:dxf>
              <fill>
                <patternFill>
                  <bgColor rgb="FFFFC000"/>
                </patternFill>
              </fill>
            </x14:dxf>
          </x14:cfRule>
          <x14:cfRule type="containsText" priority="4197" operator="containsText" id="{FB544BA2-3013-45C9-9EF7-13CF68063D23}">
            <xm:f>NOT(ISERROR(SEARCH($Q$12,AL592)))</xm:f>
            <xm:f>$Q$12</xm:f>
            <x14:dxf>
              <fill>
                <patternFill>
                  <bgColor rgb="FFFFFF00"/>
                </patternFill>
              </fill>
            </x14:dxf>
          </x14:cfRule>
          <xm:sqref>AL592</xm:sqref>
        </x14:conditionalFormatting>
        <x14:conditionalFormatting xmlns:xm="http://schemas.microsoft.com/office/excel/2006/main">
          <x14:cfRule type="containsText" priority="4172" operator="containsText" id="{E00E060A-7A1B-45BE-BBD6-80FCB629C2D5}">
            <xm:f>NOT(ISERROR(SEARCH($Q$12,AL602)))</xm:f>
            <xm:f>$Q$12</xm:f>
            <x14:dxf>
              <fill>
                <patternFill>
                  <bgColor theme="9" tint="0.79998168889431442"/>
                </patternFill>
              </fill>
            </x14:dxf>
          </x14:cfRule>
          <x14:cfRule type="containsText" priority="4182" operator="containsText" id="{A1E4CD10-03BB-4652-91F8-B46422AA8139}">
            <xm:f>NOT(ISERROR(SEARCH($Q$12,AL602)))</xm:f>
            <xm:f>$Q$12</xm:f>
            <x14:dxf>
              <fill>
                <patternFill>
                  <bgColor rgb="FFFFC000"/>
                </patternFill>
              </fill>
            </x14:dxf>
          </x14:cfRule>
          <x14:cfRule type="containsText" priority="4183" operator="containsText" id="{D71FAA60-A7CC-4DD2-A317-0EF2D56FF0E5}">
            <xm:f>NOT(ISERROR(SEARCH($Q$12,AL602)))</xm:f>
            <xm:f>$Q$12</xm:f>
            <x14:dxf>
              <fill>
                <patternFill>
                  <bgColor rgb="FFFF0000"/>
                </patternFill>
              </fill>
            </x14:dxf>
          </x14:cfRule>
          <x14:cfRule type="containsText" priority="4180" operator="containsText" id="{3BB0330B-3B03-41B4-A796-5A3FE444E5F5}">
            <xm:f>NOT(ISERROR(SEARCH($Q$12,AL602)))</xm:f>
            <xm:f>$Q$12</xm:f>
            <x14:dxf>
              <fill>
                <patternFill>
                  <bgColor theme="9"/>
                </patternFill>
              </fill>
            </x14:dxf>
          </x14:cfRule>
          <x14:cfRule type="containsText" priority="4179" operator="containsText" id="{D88D30D1-0CAF-46EA-AF2B-AA8867520754}">
            <xm:f>NOT(ISERROR(SEARCH($Q$12,AL602)))</xm:f>
            <xm:f>$Q$12</xm:f>
            <x14:dxf>
              <fill>
                <patternFill>
                  <bgColor theme="9" tint="0.59996337778862885"/>
                </patternFill>
              </fill>
            </x14:dxf>
          </x14:cfRule>
          <x14:cfRule type="containsText" priority="4178" operator="containsText" id="{5622110F-79F4-4204-9B36-11A722213D1D}">
            <xm:f>NOT(ISERROR(SEARCH($Q$12,AL602)))</xm:f>
            <xm:f>$Q$12</xm:f>
            <x14:dxf>
              <fill>
                <patternFill>
                  <bgColor rgb="FFFF0000"/>
                </patternFill>
              </fill>
            </x14:dxf>
          </x14:cfRule>
          <x14:cfRule type="containsText" priority="4177" operator="containsText" id="{56EA549B-05A8-41A7-9142-504C742E98A2}">
            <xm:f>NOT(ISERROR(SEARCH($Q$12,AL602)))</xm:f>
            <xm:f>$Q$12</xm:f>
            <x14:dxf>
              <fill>
                <patternFill>
                  <bgColor rgb="FFFFC000"/>
                </patternFill>
              </fill>
            </x14:dxf>
          </x14:cfRule>
          <x14:cfRule type="containsText" priority="4176" operator="containsText" id="{2DEDB7CE-833D-4185-B159-A5C619A8D455}">
            <xm:f>NOT(ISERROR(SEARCH($Q$12,AL602)))</xm:f>
            <xm:f>$Q$12</xm:f>
            <x14:dxf>
              <fill>
                <patternFill>
                  <bgColor rgb="FFFFFF00"/>
                </patternFill>
              </fill>
            </x14:dxf>
          </x14:cfRule>
          <x14:cfRule type="containsText" priority="4174" operator="containsText" id="{B545DBE9-3417-4CA1-8837-12FF66BB4E6D}">
            <xm:f>NOT(ISERROR(SEARCH($Q$12,AL602)))</xm:f>
            <xm:f>$Q$12</xm:f>
            <x14:dxf>
              <fill>
                <patternFill>
                  <bgColor rgb="FF00B050"/>
                </patternFill>
              </fill>
            </x14:dxf>
          </x14:cfRule>
          <x14:cfRule type="containsText" priority="4173" operator="containsText" id="{3D5CA612-3FC3-4168-8494-CA80EE6322B1}">
            <xm:f>NOT(ISERROR(SEARCH($Q$12,AL602)))</xm:f>
            <xm:f>$Q$12</xm:f>
            <x14:dxf>
              <fill>
                <patternFill>
                  <bgColor theme="9" tint="0.39994506668294322"/>
                </patternFill>
              </fill>
            </x14:dxf>
          </x14:cfRule>
          <x14:cfRule type="containsText" priority="4171" operator="containsText" id="{93540351-96BE-47C6-B186-4B5C1C213C11}">
            <xm:f>NOT(ISERROR(SEARCH($Q$12,AL602)))</xm:f>
            <xm:f>$Q$12</xm:f>
            <x14:dxf>
              <fill>
                <patternFill>
                  <bgColor rgb="FFFFFF00"/>
                </patternFill>
              </fill>
            </x14:dxf>
          </x14:cfRule>
          <xm:sqref>AL602</xm:sqref>
        </x14:conditionalFormatting>
        <x14:conditionalFormatting xmlns:xm="http://schemas.microsoft.com/office/excel/2006/main">
          <x14:cfRule type="containsText" priority="4045" operator="containsText" id="{2217CC7C-D37D-423B-996B-26A881D46893}">
            <xm:f>NOT(ISERROR(SEARCH($Q$12,AL612)))</xm:f>
            <xm:f>$Q$12</xm:f>
            <x14:dxf>
              <fill>
                <patternFill>
                  <bgColor rgb="FFFF0000"/>
                </patternFill>
              </fill>
            </x14:dxf>
          </x14:cfRule>
          <x14:cfRule type="containsText" priority="4035" operator="containsText" id="{8587B16E-5BD8-4588-A30E-F2F55E6ED49F}">
            <xm:f>NOT(ISERROR(SEARCH($Q$12,AL612)))</xm:f>
            <xm:f>$Q$12</xm:f>
            <x14:dxf>
              <fill>
                <patternFill>
                  <bgColor theme="9" tint="0.39994506668294322"/>
                </patternFill>
              </fill>
            </x14:dxf>
          </x14:cfRule>
          <x14:cfRule type="containsText" priority="4044" operator="containsText" id="{5812A3CF-E737-4ACB-9CE9-4D78001C1355}">
            <xm:f>NOT(ISERROR(SEARCH($Q$12,AL612)))</xm:f>
            <xm:f>$Q$12</xm:f>
            <x14:dxf>
              <fill>
                <patternFill>
                  <bgColor rgb="FFFFC000"/>
                </patternFill>
              </fill>
            </x14:dxf>
          </x14:cfRule>
          <x14:cfRule type="containsText" priority="4042" operator="containsText" id="{BF82AB1A-CA27-43BA-8979-CC5C71815DB5}">
            <xm:f>NOT(ISERROR(SEARCH($Q$12,AL612)))</xm:f>
            <xm:f>$Q$12</xm:f>
            <x14:dxf>
              <fill>
                <patternFill>
                  <bgColor theme="9"/>
                </patternFill>
              </fill>
            </x14:dxf>
          </x14:cfRule>
          <x14:cfRule type="containsText" priority="4041" operator="containsText" id="{83F25773-3813-41B9-8960-61E67D54BB69}">
            <xm:f>NOT(ISERROR(SEARCH($Q$12,AL612)))</xm:f>
            <xm:f>$Q$12</xm:f>
            <x14:dxf>
              <fill>
                <patternFill>
                  <bgColor theme="9" tint="0.59996337778862885"/>
                </patternFill>
              </fill>
            </x14:dxf>
          </x14:cfRule>
          <x14:cfRule type="containsText" priority="4040" operator="containsText" id="{8F703BAF-BCAE-4F13-AB6E-D44C2237B9FD}">
            <xm:f>NOT(ISERROR(SEARCH($Q$12,AL612)))</xm:f>
            <xm:f>$Q$12</xm:f>
            <x14:dxf>
              <fill>
                <patternFill>
                  <bgColor rgb="FFFF0000"/>
                </patternFill>
              </fill>
            </x14:dxf>
          </x14:cfRule>
          <x14:cfRule type="containsText" priority="4039" operator="containsText" id="{C95B4A66-A633-4472-B264-134EB1C8A438}">
            <xm:f>NOT(ISERROR(SEARCH($Q$12,AL612)))</xm:f>
            <xm:f>$Q$12</xm:f>
            <x14:dxf>
              <fill>
                <patternFill>
                  <bgColor rgb="FFFFC000"/>
                </patternFill>
              </fill>
            </x14:dxf>
          </x14:cfRule>
          <x14:cfRule type="containsText" priority="4038" operator="containsText" id="{28649706-B9F2-4143-87DF-0D78D1B88E69}">
            <xm:f>NOT(ISERROR(SEARCH($Q$12,AL612)))</xm:f>
            <xm:f>$Q$12</xm:f>
            <x14:dxf>
              <fill>
                <patternFill>
                  <bgColor rgb="FFFFFF00"/>
                </patternFill>
              </fill>
            </x14:dxf>
          </x14:cfRule>
          <x14:cfRule type="containsText" priority="4036" operator="containsText" id="{B5CE1C54-B0BD-4280-B174-762EF7BE727E}">
            <xm:f>NOT(ISERROR(SEARCH($Q$12,AL612)))</xm:f>
            <xm:f>$Q$12</xm:f>
            <x14:dxf>
              <fill>
                <patternFill>
                  <bgColor rgb="FF00B050"/>
                </patternFill>
              </fill>
            </x14:dxf>
          </x14:cfRule>
          <x14:cfRule type="containsText" priority="4034" operator="containsText" id="{D5BAB2A7-9983-440C-8D1C-C2A3415E770C}">
            <xm:f>NOT(ISERROR(SEARCH($Q$12,AL612)))</xm:f>
            <xm:f>$Q$12</xm:f>
            <x14:dxf>
              <fill>
                <patternFill>
                  <bgColor theme="9" tint="0.79998168889431442"/>
                </patternFill>
              </fill>
            </x14:dxf>
          </x14:cfRule>
          <x14:cfRule type="containsText" priority="4033" operator="containsText" id="{D3EA9786-8A51-4793-A636-98C2DDFDB32D}">
            <xm:f>NOT(ISERROR(SEARCH($Q$12,AL612)))</xm:f>
            <xm:f>$Q$12</xm:f>
            <x14:dxf>
              <fill>
                <patternFill>
                  <bgColor rgb="FFFFFF00"/>
                </patternFill>
              </fill>
            </x14:dxf>
          </x14:cfRule>
          <xm:sqref>AL612</xm:sqref>
        </x14:conditionalFormatting>
        <x14:conditionalFormatting xmlns:xm="http://schemas.microsoft.com/office/excel/2006/main">
          <x14:cfRule type="containsText" priority="3939" operator="containsText" id="{AD23E0B2-4920-40F1-B3F8-2AED5FA21373}">
            <xm:f>NOT(ISERROR(SEARCH($Q$12,AL622)))</xm:f>
            <xm:f>$Q$12</xm:f>
            <x14:dxf>
              <fill>
                <patternFill>
                  <bgColor rgb="FFFFC000"/>
                </patternFill>
              </fill>
            </x14:dxf>
          </x14:cfRule>
          <x14:cfRule type="containsText" priority="3938" operator="containsText" id="{FD27724E-A942-4906-B68C-5BEDCBF9727B}">
            <xm:f>NOT(ISERROR(SEARCH($Q$12,AL622)))</xm:f>
            <xm:f>$Q$12</xm:f>
            <x14:dxf>
              <fill>
                <patternFill>
                  <bgColor rgb="FFFFFF00"/>
                </patternFill>
              </fill>
            </x14:dxf>
          </x14:cfRule>
          <x14:cfRule type="containsText" priority="3937" operator="containsText" id="{2B30D90E-336D-4B98-8167-794FE508C69F}">
            <xm:f>NOT(ISERROR(SEARCH($Q$12,AL622)))</xm:f>
            <xm:f>$Q$12</xm:f>
            <x14:dxf>
              <fill>
                <patternFill>
                  <bgColor rgb="FF00B050"/>
                </patternFill>
              </fill>
            </x14:dxf>
          </x14:cfRule>
          <x14:cfRule type="containsText" priority="3936" operator="containsText" id="{9003E6BB-0AEA-452A-A86A-FC544BFEB676}">
            <xm:f>NOT(ISERROR(SEARCH($Q$12,AL622)))</xm:f>
            <xm:f>$Q$12</xm:f>
            <x14:dxf>
              <fill>
                <patternFill>
                  <bgColor theme="9" tint="0.39994506668294322"/>
                </patternFill>
              </fill>
            </x14:dxf>
          </x14:cfRule>
          <x14:cfRule type="containsText" priority="3940" operator="containsText" id="{3EB17EBD-2C3D-4348-A174-F7AC9F4856A6}">
            <xm:f>NOT(ISERROR(SEARCH($Q$12,AL622)))</xm:f>
            <xm:f>$Q$12</xm:f>
            <x14:dxf>
              <fill>
                <patternFill>
                  <bgColor rgb="FFFF0000"/>
                </patternFill>
              </fill>
            </x14:dxf>
          </x14:cfRule>
          <x14:cfRule type="containsText" priority="3935" operator="containsText" id="{C0B9A181-8C83-44E5-9664-F228A42933AF}">
            <xm:f>NOT(ISERROR(SEARCH($Q$12,AL622)))</xm:f>
            <xm:f>$Q$12</xm:f>
            <x14:dxf>
              <fill>
                <patternFill>
                  <bgColor theme="9" tint="0.79998168889431442"/>
                </patternFill>
              </fill>
            </x14:dxf>
          </x14:cfRule>
          <x14:cfRule type="containsText" priority="3945" operator="containsText" id="{AAF7D5C5-305D-470B-BF5C-C8860B711003}">
            <xm:f>NOT(ISERROR(SEARCH($Q$12,AL622)))</xm:f>
            <xm:f>$Q$12</xm:f>
            <x14:dxf>
              <fill>
                <patternFill>
                  <bgColor rgb="FFFF0000"/>
                </patternFill>
              </fill>
            </x14:dxf>
          </x14:cfRule>
          <x14:cfRule type="containsText" priority="3944" operator="containsText" id="{B2ECE7C1-CA0A-4647-8207-9E5C47E30B6F}">
            <xm:f>NOT(ISERROR(SEARCH($Q$12,AL622)))</xm:f>
            <xm:f>$Q$12</xm:f>
            <x14:dxf>
              <fill>
                <patternFill>
                  <bgColor rgb="FFFFC000"/>
                </patternFill>
              </fill>
            </x14:dxf>
          </x14:cfRule>
          <x14:cfRule type="containsText" priority="3943" operator="containsText" id="{AABD97C2-4D16-4B54-966F-4DDD960DDE53}">
            <xm:f>NOT(ISERROR(SEARCH($Q$12,AL622)))</xm:f>
            <xm:f>$Q$12</xm:f>
            <x14:dxf>
              <fill>
                <patternFill>
                  <bgColor rgb="FFFFFF00"/>
                </patternFill>
              </fill>
            </x14:dxf>
          </x14:cfRule>
          <x14:cfRule type="containsText" priority="3942" operator="containsText" id="{7EB262FF-6B26-4EF9-BB3B-202425199F00}">
            <xm:f>NOT(ISERROR(SEARCH($Q$12,AL622)))</xm:f>
            <xm:f>$Q$12</xm:f>
            <x14:dxf>
              <fill>
                <patternFill>
                  <bgColor theme="9"/>
                </patternFill>
              </fill>
            </x14:dxf>
          </x14:cfRule>
          <x14:cfRule type="containsText" priority="3941" operator="containsText" id="{5465F757-AC05-4E50-989E-8E91F9CFB51F}">
            <xm:f>NOT(ISERROR(SEARCH($Q$12,AL622)))</xm:f>
            <xm:f>$Q$12</xm:f>
            <x14:dxf>
              <fill>
                <patternFill>
                  <bgColor theme="9" tint="0.59996337778862885"/>
                </patternFill>
              </fill>
            </x14:dxf>
          </x14:cfRule>
          <xm:sqref>AL622</xm:sqref>
        </x14:conditionalFormatting>
        <x14:conditionalFormatting xmlns:xm="http://schemas.microsoft.com/office/excel/2006/main">
          <x14:cfRule type="containsText" priority="3798" operator="containsText" id="{2521FBAB-FD68-49DF-94EC-04CF1DE469AC}">
            <xm:f>NOT(ISERROR(SEARCH($Q$12,AL632)))</xm:f>
            <xm:f>$Q$12</xm:f>
            <x14:dxf>
              <fill>
                <patternFill>
                  <bgColor theme="9"/>
                </patternFill>
              </fill>
            </x14:dxf>
          </x14:cfRule>
          <x14:cfRule type="containsText" priority="3797" operator="containsText" id="{794D6ED3-A5EF-49BA-8379-F628D25ECD6C}">
            <xm:f>NOT(ISERROR(SEARCH($Q$12,AL632)))</xm:f>
            <xm:f>$Q$12</xm:f>
            <x14:dxf>
              <fill>
                <patternFill>
                  <bgColor theme="9" tint="0.59996337778862885"/>
                </patternFill>
              </fill>
            </x14:dxf>
          </x14:cfRule>
          <x14:cfRule type="containsText" priority="3796" operator="containsText" id="{88C257D1-14D0-45C4-9924-223801EB6361}">
            <xm:f>NOT(ISERROR(SEARCH($Q$12,AL632)))</xm:f>
            <xm:f>$Q$12</xm:f>
            <x14:dxf>
              <fill>
                <patternFill>
                  <bgColor rgb="FFFF0000"/>
                </patternFill>
              </fill>
            </x14:dxf>
          </x14:cfRule>
          <x14:cfRule type="containsText" priority="3795" operator="containsText" id="{021AB31B-0608-4649-B071-4D7F20EB66F3}">
            <xm:f>NOT(ISERROR(SEARCH($Q$12,AL632)))</xm:f>
            <xm:f>$Q$12</xm:f>
            <x14:dxf>
              <fill>
                <patternFill>
                  <bgColor rgb="FFFFC000"/>
                </patternFill>
              </fill>
            </x14:dxf>
          </x14:cfRule>
          <x14:cfRule type="containsText" priority="3794" operator="containsText" id="{849DDA5B-8266-453F-BD30-23598BD8D187}">
            <xm:f>NOT(ISERROR(SEARCH($Q$12,AL632)))</xm:f>
            <xm:f>$Q$12</xm:f>
            <x14:dxf>
              <fill>
                <patternFill>
                  <bgColor rgb="FFFFFF00"/>
                </patternFill>
              </fill>
            </x14:dxf>
          </x14:cfRule>
          <x14:cfRule type="containsText" priority="3791" operator="containsText" id="{98A6C1B5-991D-440A-9499-0ED418CCEFC7}">
            <xm:f>NOT(ISERROR(SEARCH($Q$12,AL632)))</xm:f>
            <xm:f>$Q$12</xm:f>
            <x14:dxf>
              <fill>
                <patternFill>
                  <bgColor theme="9" tint="0.39994506668294322"/>
                </patternFill>
              </fill>
            </x14:dxf>
          </x14:cfRule>
          <x14:cfRule type="containsText" priority="3790" operator="containsText" id="{B709F2DA-CE74-4733-9788-79424D45208A}">
            <xm:f>NOT(ISERROR(SEARCH($Q$12,AL632)))</xm:f>
            <xm:f>$Q$12</xm:f>
            <x14:dxf>
              <fill>
                <patternFill>
                  <bgColor theme="9" tint="0.79998168889431442"/>
                </patternFill>
              </fill>
            </x14:dxf>
          </x14:cfRule>
          <x14:cfRule type="containsText" priority="3789" operator="containsText" id="{7571C472-72DD-429F-90AB-BD68BDD683D0}">
            <xm:f>NOT(ISERROR(SEARCH($Q$12,AL632)))</xm:f>
            <xm:f>$Q$12</xm:f>
            <x14:dxf>
              <fill>
                <patternFill>
                  <bgColor rgb="FFFFFF00"/>
                </patternFill>
              </fill>
            </x14:dxf>
          </x14:cfRule>
          <x14:cfRule type="containsText" priority="3801" operator="containsText" id="{B4CF41A3-73CB-4A3C-A8FF-5E3D562769C5}">
            <xm:f>NOT(ISERROR(SEARCH($Q$12,AL632)))</xm:f>
            <xm:f>$Q$12</xm:f>
            <x14:dxf>
              <fill>
                <patternFill>
                  <bgColor rgb="FFFF0000"/>
                </patternFill>
              </fill>
            </x14:dxf>
          </x14:cfRule>
          <x14:cfRule type="containsText" priority="3792" operator="containsText" id="{445681AE-5A25-41D6-A274-FA8E36254015}">
            <xm:f>NOT(ISERROR(SEARCH($Q$12,AL632)))</xm:f>
            <xm:f>$Q$12</xm:f>
            <x14:dxf>
              <fill>
                <patternFill>
                  <bgColor rgb="FF00B050"/>
                </patternFill>
              </fill>
            </x14:dxf>
          </x14:cfRule>
          <x14:cfRule type="containsText" priority="3800" operator="containsText" id="{A44AD77A-B46B-4019-B0CC-654899A7BCA7}">
            <xm:f>NOT(ISERROR(SEARCH($Q$12,AL632)))</xm:f>
            <xm:f>$Q$12</xm:f>
            <x14:dxf>
              <fill>
                <patternFill>
                  <bgColor rgb="FFFFC000"/>
                </patternFill>
              </fill>
            </x14:dxf>
          </x14:cfRule>
          <xm:sqref>AL632</xm:sqref>
        </x14:conditionalFormatting>
        <x14:conditionalFormatting xmlns:xm="http://schemas.microsoft.com/office/excel/2006/main">
          <x14:cfRule type="containsText" priority="3764" operator="containsText" id="{17F10740-A895-4C89-BA5C-FE0D445EC4D0}">
            <xm:f>NOT(ISERROR(SEARCH($Q$12,AL642)))</xm:f>
            <xm:f>$Q$12</xm:f>
            <x14:dxf>
              <fill>
                <patternFill>
                  <bgColor theme="9" tint="0.79998168889431442"/>
                </patternFill>
              </fill>
            </x14:dxf>
          </x14:cfRule>
          <x14:cfRule type="containsText" priority="3768" operator="containsText" id="{BC93FF08-9C01-4C53-9311-F0551DE551A4}">
            <xm:f>NOT(ISERROR(SEARCH($Q$12,AL642)))</xm:f>
            <xm:f>$Q$12</xm:f>
            <x14:dxf>
              <fill>
                <patternFill>
                  <bgColor rgb="FFFFFF00"/>
                </patternFill>
              </fill>
            </x14:dxf>
          </x14:cfRule>
          <x14:cfRule type="containsText" priority="3763" operator="containsText" id="{8D30893C-BCB3-4B6C-BC5A-9A3BF8890D14}">
            <xm:f>NOT(ISERROR(SEARCH($Q$12,AL642)))</xm:f>
            <xm:f>$Q$12</xm:f>
            <x14:dxf>
              <fill>
                <patternFill>
                  <bgColor rgb="FFFFFF00"/>
                </patternFill>
              </fill>
            </x14:dxf>
          </x14:cfRule>
          <x14:cfRule type="containsText" priority="3769" operator="containsText" id="{6146DE7F-231E-4350-BD28-54C565068A01}">
            <xm:f>NOT(ISERROR(SEARCH($Q$12,AL642)))</xm:f>
            <xm:f>$Q$12</xm:f>
            <x14:dxf>
              <fill>
                <patternFill>
                  <bgColor rgb="FFFFC000"/>
                </patternFill>
              </fill>
            </x14:dxf>
          </x14:cfRule>
          <x14:cfRule type="containsText" priority="3770" operator="containsText" id="{81B2EEEB-F618-40AE-96B9-5B9986A56255}">
            <xm:f>NOT(ISERROR(SEARCH($Q$12,AL642)))</xm:f>
            <xm:f>$Q$12</xm:f>
            <x14:dxf>
              <fill>
                <patternFill>
                  <bgColor rgb="FFFF0000"/>
                </patternFill>
              </fill>
            </x14:dxf>
          </x14:cfRule>
          <x14:cfRule type="containsText" priority="3771" operator="containsText" id="{9B8AC9E6-FE26-4092-A760-4893DA7EC5E6}">
            <xm:f>NOT(ISERROR(SEARCH($Q$12,AL642)))</xm:f>
            <xm:f>$Q$12</xm:f>
            <x14:dxf>
              <fill>
                <patternFill>
                  <bgColor theme="9" tint="0.59996337778862885"/>
                </patternFill>
              </fill>
            </x14:dxf>
          </x14:cfRule>
          <x14:cfRule type="containsText" priority="3772" operator="containsText" id="{4EBDDDDA-F0D6-4F3C-B3E1-B78417A86021}">
            <xm:f>NOT(ISERROR(SEARCH($Q$12,AL642)))</xm:f>
            <xm:f>$Q$12</xm:f>
            <x14:dxf>
              <fill>
                <patternFill>
                  <bgColor theme="9"/>
                </patternFill>
              </fill>
            </x14:dxf>
          </x14:cfRule>
          <x14:cfRule type="containsText" priority="3774" operator="containsText" id="{52AE0DAA-F669-45AF-A856-D3E174F53FBF}">
            <xm:f>NOT(ISERROR(SEARCH($Q$12,AL642)))</xm:f>
            <xm:f>$Q$12</xm:f>
            <x14:dxf>
              <fill>
                <patternFill>
                  <bgColor rgb="FFFFC000"/>
                </patternFill>
              </fill>
            </x14:dxf>
          </x14:cfRule>
          <x14:cfRule type="containsText" priority="3775" operator="containsText" id="{6F44663F-B422-4D36-88BC-5CECDD361309}">
            <xm:f>NOT(ISERROR(SEARCH($Q$12,AL642)))</xm:f>
            <xm:f>$Q$12</xm:f>
            <x14:dxf>
              <fill>
                <patternFill>
                  <bgColor rgb="FFFF0000"/>
                </patternFill>
              </fill>
            </x14:dxf>
          </x14:cfRule>
          <x14:cfRule type="containsText" priority="3765" operator="containsText" id="{0183DEF7-2E14-434B-AA52-46476624233A}">
            <xm:f>NOT(ISERROR(SEARCH($Q$12,AL642)))</xm:f>
            <xm:f>$Q$12</xm:f>
            <x14:dxf>
              <fill>
                <patternFill>
                  <bgColor theme="9" tint="0.39994506668294322"/>
                </patternFill>
              </fill>
            </x14:dxf>
          </x14:cfRule>
          <x14:cfRule type="containsText" priority="3766" operator="containsText" id="{B2FE8FB7-E9B8-4EE3-AEEF-AA2C24755DA3}">
            <xm:f>NOT(ISERROR(SEARCH($Q$12,AL642)))</xm:f>
            <xm:f>$Q$12</xm:f>
            <x14:dxf>
              <fill>
                <patternFill>
                  <bgColor rgb="FF00B050"/>
                </patternFill>
              </fill>
            </x14:dxf>
          </x14:cfRule>
          <xm:sqref>AL642</xm:sqref>
        </x14:conditionalFormatting>
        <x14:conditionalFormatting xmlns:xm="http://schemas.microsoft.com/office/excel/2006/main">
          <x14:cfRule type="containsText" priority="3625" operator="containsText" id="{60B2692E-33C8-4167-B53F-6226C194BF1F}">
            <xm:f>NOT(ISERROR(SEARCH($Q$12,AL652)))</xm:f>
            <xm:f>$Q$12</xm:f>
            <x14:dxf>
              <fill>
                <patternFill>
                  <bgColor rgb="FFFF0000"/>
                </patternFill>
              </fill>
            </x14:dxf>
          </x14:cfRule>
          <x14:cfRule type="containsText" priority="3624" operator="containsText" id="{11B3A845-89E0-482C-A6E8-B42234547143}">
            <xm:f>NOT(ISERROR(SEARCH($Q$12,AL652)))</xm:f>
            <xm:f>$Q$12</xm:f>
            <x14:dxf>
              <fill>
                <patternFill>
                  <bgColor rgb="FFFFC000"/>
                </patternFill>
              </fill>
            </x14:dxf>
          </x14:cfRule>
          <x14:cfRule type="containsText" priority="3622" operator="containsText" id="{9F0373A2-BFD2-419D-98A1-3E7484C652E8}">
            <xm:f>NOT(ISERROR(SEARCH($Q$12,AL652)))</xm:f>
            <xm:f>$Q$12</xm:f>
            <x14:dxf>
              <fill>
                <patternFill>
                  <bgColor theme="9"/>
                </patternFill>
              </fill>
            </x14:dxf>
          </x14:cfRule>
          <x14:cfRule type="containsText" priority="3621" operator="containsText" id="{B4215DD5-A368-413A-B2A5-31C7CF2623D0}">
            <xm:f>NOT(ISERROR(SEARCH($Q$12,AL652)))</xm:f>
            <xm:f>$Q$12</xm:f>
            <x14:dxf>
              <fill>
                <patternFill>
                  <bgColor theme="9" tint="0.59996337778862885"/>
                </patternFill>
              </fill>
            </x14:dxf>
          </x14:cfRule>
          <x14:cfRule type="containsText" priority="3613" operator="containsText" id="{9ECB0124-92D4-4D23-AB18-2180E65349A2}">
            <xm:f>NOT(ISERROR(SEARCH($Q$12,AL652)))</xm:f>
            <xm:f>$Q$12</xm:f>
            <x14:dxf>
              <fill>
                <patternFill>
                  <bgColor rgb="FFFFFF00"/>
                </patternFill>
              </fill>
            </x14:dxf>
          </x14:cfRule>
          <x14:cfRule type="containsText" priority="3614" operator="containsText" id="{E58DA9CE-62B9-4325-8A8B-58C4A67770B8}">
            <xm:f>NOT(ISERROR(SEARCH($Q$12,AL652)))</xm:f>
            <xm:f>$Q$12</xm:f>
            <x14:dxf>
              <fill>
                <patternFill>
                  <bgColor theme="9" tint="0.79998168889431442"/>
                </patternFill>
              </fill>
            </x14:dxf>
          </x14:cfRule>
          <x14:cfRule type="containsText" priority="3615" operator="containsText" id="{CB40480A-8D95-489D-B711-4638E7D88FB2}">
            <xm:f>NOT(ISERROR(SEARCH($Q$12,AL652)))</xm:f>
            <xm:f>$Q$12</xm:f>
            <x14:dxf>
              <fill>
                <patternFill>
                  <bgColor theme="9" tint="0.39994506668294322"/>
                </patternFill>
              </fill>
            </x14:dxf>
          </x14:cfRule>
          <x14:cfRule type="containsText" priority="3620" operator="containsText" id="{86ED5AF6-FF02-4729-BFB0-15E8148A6EFD}">
            <xm:f>NOT(ISERROR(SEARCH($Q$12,AL652)))</xm:f>
            <xm:f>$Q$12</xm:f>
            <x14:dxf>
              <fill>
                <patternFill>
                  <bgColor rgb="FFFF0000"/>
                </patternFill>
              </fill>
            </x14:dxf>
          </x14:cfRule>
          <x14:cfRule type="containsText" priority="3616" operator="containsText" id="{7098E861-0BB0-4D74-950E-3B4EA3C97159}">
            <xm:f>NOT(ISERROR(SEARCH($Q$12,AL652)))</xm:f>
            <xm:f>$Q$12</xm:f>
            <x14:dxf>
              <fill>
                <patternFill>
                  <bgColor rgb="FF00B050"/>
                </patternFill>
              </fill>
            </x14:dxf>
          </x14:cfRule>
          <x14:cfRule type="containsText" priority="3618" operator="containsText" id="{57B53E45-10FA-4C8E-B477-1DD649451C56}">
            <xm:f>NOT(ISERROR(SEARCH($Q$12,AL652)))</xm:f>
            <xm:f>$Q$12</xm:f>
            <x14:dxf>
              <fill>
                <patternFill>
                  <bgColor rgb="FFFFFF00"/>
                </patternFill>
              </fill>
            </x14:dxf>
          </x14:cfRule>
          <x14:cfRule type="containsText" priority="3619" operator="containsText" id="{C015307B-27E6-4F4C-A4B6-1025D9B9C05E}">
            <xm:f>NOT(ISERROR(SEARCH($Q$12,AL652)))</xm:f>
            <xm:f>$Q$12</xm:f>
            <x14:dxf>
              <fill>
                <patternFill>
                  <bgColor rgb="FFFFC000"/>
                </patternFill>
              </fill>
            </x14:dxf>
          </x14:cfRule>
          <xm:sqref>AL652</xm:sqref>
        </x14:conditionalFormatting>
        <x14:conditionalFormatting xmlns:xm="http://schemas.microsoft.com/office/excel/2006/main">
          <x14:cfRule type="containsText" priority="3180" operator="containsText" id="{225825AA-7DB4-4203-8F5F-DE13D1FF3633}">
            <xm:f>NOT(ISERROR(SEARCH($Q$12,AL662)))</xm:f>
            <xm:f>$Q$12</xm:f>
            <x14:dxf>
              <fill>
                <patternFill>
                  <bgColor rgb="FF00B050"/>
                </patternFill>
              </fill>
            </x14:dxf>
          </x14:cfRule>
          <x14:cfRule type="containsText" priority="3182" operator="containsText" id="{9906371A-5451-4215-8A36-9AE4882C4735}">
            <xm:f>NOT(ISERROR(SEARCH($Q$12,AL662)))</xm:f>
            <xm:f>$Q$12</xm:f>
            <x14:dxf>
              <fill>
                <patternFill>
                  <bgColor rgb="FFFFFF00"/>
                </patternFill>
              </fill>
            </x14:dxf>
          </x14:cfRule>
          <x14:cfRule type="containsText" priority="3183" operator="containsText" id="{26328A39-C8CF-4EA1-A290-EC1B0A7964E9}">
            <xm:f>NOT(ISERROR(SEARCH($Q$12,AL662)))</xm:f>
            <xm:f>$Q$12</xm:f>
            <x14:dxf>
              <fill>
                <patternFill>
                  <bgColor rgb="FFFFC000"/>
                </patternFill>
              </fill>
            </x14:dxf>
          </x14:cfRule>
          <x14:cfRule type="containsText" priority="3184" operator="containsText" id="{F062B7C7-7BE1-48A6-9826-E52AC6F397D6}">
            <xm:f>NOT(ISERROR(SEARCH($Q$12,AL662)))</xm:f>
            <xm:f>$Q$12</xm:f>
            <x14:dxf>
              <fill>
                <patternFill>
                  <bgColor rgb="FFFF0000"/>
                </patternFill>
              </fill>
            </x14:dxf>
          </x14:cfRule>
          <x14:cfRule type="containsText" priority="3185" operator="containsText" id="{50A926FD-EA76-430C-8DAF-F6243C72BF57}">
            <xm:f>NOT(ISERROR(SEARCH($Q$12,AL662)))</xm:f>
            <xm:f>$Q$12</xm:f>
            <x14:dxf>
              <fill>
                <patternFill>
                  <bgColor theme="9" tint="0.59996337778862885"/>
                </patternFill>
              </fill>
            </x14:dxf>
          </x14:cfRule>
          <x14:cfRule type="containsText" priority="3186" operator="containsText" id="{686CD750-A420-466E-AB44-84366F3FCEBF}">
            <xm:f>NOT(ISERROR(SEARCH($Q$12,AL662)))</xm:f>
            <xm:f>$Q$12</xm:f>
            <x14:dxf>
              <fill>
                <patternFill>
                  <bgColor theme="9"/>
                </patternFill>
              </fill>
            </x14:dxf>
          </x14:cfRule>
          <x14:cfRule type="containsText" priority="3188" operator="containsText" id="{75712802-1345-4B7F-8DB4-14D7B9E4ED54}">
            <xm:f>NOT(ISERROR(SEARCH($Q$12,AL662)))</xm:f>
            <xm:f>$Q$12</xm:f>
            <x14:dxf>
              <fill>
                <patternFill>
                  <bgColor rgb="FFFFC000"/>
                </patternFill>
              </fill>
            </x14:dxf>
          </x14:cfRule>
          <x14:cfRule type="containsText" priority="3189" operator="containsText" id="{E1ABBBD7-8223-4A06-B46D-AAABB2103412}">
            <xm:f>NOT(ISERROR(SEARCH($Q$12,AL662)))</xm:f>
            <xm:f>$Q$12</xm:f>
            <x14:dxf>
              <fill>
                <patternFill>
                  <bgColor rgb="FFFF0000"/>
                </patternFill>
              </fill>
            </x14:dxf>
          </x14:cfRule>
          <x14:cfRule type="containsText" priority="3179" operator="containsText" id="{C2E85D39-C369-4FED-9A4F-9C4835CBB6B1}">
            <xm:f>NOT(ISERROR(SEARCH($Q$12,AL662)))</xm:f>
            <xm:f>$Q$12</xm:f>
            <x14:dxf>
              <fill>
                <patternFill>
                  <bgColor theme="9" tint="0.39994506668294322"/>
                </patternFill>
              </fill>
            </x14:dxf>
          </x14:cfRule>
          <x14:cfRule type="containsText" priority="3178" operator="containsText" id="{FECAF390-36A2-41A8-8112-EA1880CC993D}">
            <xm:f>NOT(ISERROR(SEARCH($Q$12,AL662)))</xm:f>
            <xm:f>$Q$12</xm:f>
            <x14:dxf>
              <fill>
                <patternFill>
                  <bgColor theme="9" tint="0.79998168889431442"/>
                </patternFill>
              </fill>
            </x14:dxf>
          </x14:cfRule>
          <x14:cfRule type="containsText" priority="3177" operator="containsText" id="{C3EDC24E-FE65-48FF-81F6-8BD65F204F88}">
            <xm:f>NOT(ISERROR(SEARCH($Q$12,AL662)))</xm:f>
            <xm:f>$Q$12</xm:f>
            <x14:dxf>
              <fill>
                <patternFill>
                  <bgColor rgb="FFFFFF00"/>
                </patternFill>
              </fill>
            </x14:dxf>
          </x14:cfRule>
          <xm:sqref>AL662</xm:sqref>
        </x14:conditionalFormatting>
        <x14:conditionalFormatting xmlns:xm="http://schemas.microsoft.com/office/excel/2006/main">
          <x14:cfRule type="containsText" priority="3156" operator="containsText" id="{00D2955D-1EEF-4D95-B57A-0594ABADD197}">
            <xm:f>NOT(ISERROR(SEARCH($Q$12,AL672)))</xm:f>
            <xm:f>$Q$12</xm:f>
            <x14:dxf>
              <fill>
                <patternFill>
                  <bgColor rgb="FFFFFF00"/>
                </patternFill>
              </fill>
            </x14:dxf>
          </x14:cfRule>
          <x14:cfRule type="containsText" priority="3152" operator="containsText" id="{50847C77-DFC1-4843-AFA9-B5C711EC3104}">
            <xm:f>NOT(ISERROR(SEARCH($Q$12,AL672)))</xm:f>
            <xm:f>$Q$12</xm:f>
            <x14:dxf>
              <fill>
                <patternFill>
                  <bgColor theme="9" tint="0.79998168889431442"/>
                </patternFill>
              </fill>
            </x14:dxf>
          </x14:cfRule>
          <x14:cfRule type="containsText" priority="3153" operator="containsText" id="{EC50D8F7-C650-491C-B38F-41C6D02D6998}">
            <xm:f>NOT(ISERROR(SEARCH($Q$12,AL672)))</xm:f>
            <xm:f>$Q$12</xm:f>
            <x14:dxf>
              <fill>
                <patternFill>
                  <bgColor theme="9" tint="0.39994506668294322"/>
                </patternFill>
              </fill>
            </x14:dxf>
          </x14:cfRule>
          <x14:cfRule type="containsText" priority="3154" operator="containsText" id="{78CEBAFD-8248-4280-A46F-EA38E186FA17}">
            <xm:f>NOT(ISERROR(SEARCH($Q$12,AL672)))</xm:f>
            <xm:f>$Q$12</xm:f>
            <x14:dxf>
              <fill>
                <patternFill>
                  <bgColor rgb="FF00B050"/>
                </patternFill>
              </fill>
            </x14:dxf>
          </x14:cfRule>
          <x14:cfRule type="containsText" priority="3162" operator="containsText" id="{15A36C3F-F2B0-4976-8B33-CB6C26323A63}">
            <xm:f>NOT(ISERROR(SEARCH($Q$12,AL672)))</xm:f>
            <xm:f>$Q$12</xm:f>
            <x14:dxf>
              <fill>
                <patternFill>
                  <bgColor rgb="FFFFC000"/>
                </patternFill>
              </fill>
            </x14:dxf>
          </x14:cfRule>
          <x14:cfRule type="containsText" priority="3160" operator="containsText" id="{8F71CFE7-FA6F-48C4-9B71-D1DCEB17BDB6}">
            <xm:f>NOT(ISERROR(SEARCH($Q$12,AL672)))</xm:f>
            <xm:f>$Q$12</xm:f>
            <x14:dxf>
              <fill>
                <patternFill>
                  <bgColor theme="9"/>
                </patternFill>
              </fill>
            </x14:dxf>
          </x14:cfRule>
          <x14:cfRule type="containsText" priority="3157" operator="containsText" id="{59A94E82-B8EA-4462-833F-5B3C7AD27882}">
            <xm:f>NOT(ISERROR(SEARCH($Q$12,AL672)))</xm:f>
            <xm:f>$Q$12</xm:f>
            <x14:dxf>
              <fill>
                <patternFill>
                  <bgColor rgb="FFFFC000"/>
                </patternFill>
              </fill>
            </x14:dxf>
          </x14:cfRule>
          <x14:cfRule type="containsText" priority="3159" operator="containsText" id="{96D7A308-208B-4212-A519-BB1C9D43AF80}">
            <xm:f>NOT(ISERROR(SEARCH($Q$12,AL672)))</xm:f>
            <xm:f>$Q$12</xm:f>
            <x14:dxf>
              <fill>
                <patternFill>
                  <bgColor theme="9" tint="0.59996337778862885"/>
                </patternFill>
              </fill>
            </x14:dxf>
          </x14:cfRule>
          <x14:cfRule type="containsText" priority="3158" operator="containsText" id="{4C08ED59-AAF0-4283-9FFB-0493D315560B}">
            <xm:f>NOT(ISERROR(SEARCH($Q$12,AL672)))</xm:f>
            <xm:f>$Q$12</xm:f>
            <x14:dxf>
              <fill>
                <patternFill>
                  <bgColor rgb="FFFF0000"/>
                </patternFill>
              </fill>
            </x14:dxf>
          </x14:cfRule>
          <x14:cfRule type="containsText" priority="3163" operator="containsText" id="{41AEC49B-006B-4F57-A4F9-4080BE301EDD}">
            <xm:f>NOT(ISERROR(SEARCH($Q$12,AL672)))</xm:f>
            <xm:f>$Q$12</xm:f>
            <x14:dxf>
              <fill>
                <patternFill>
                  <bgColor rgb="FFFF0000"/>
                </patternFill>
              </fill>
            </x14:dxf>
          </x14:cfRule>
          <x14:cfRule type="containsText" priority="3151" operator="containsText" id="{A7C1711A-4368-4061-A01B-267C5755204D}">
            <xm:f>NOT(ISERROR(SEARCH($Q$12,AL672)))</xm:f>
            <xm:f>$Q$12</xm:f>
            <x14:dxf>
              <fill>
                <patternFill>
                  <bgColor rgb="FFFFFF00"/>
                </patternFill>
              </fill>
            </x14:dxf>
          </x14:cfRule>
          <xm:sqref>AL672</xm:sqref>
        </x14:conditionalFormatting>
        <x14:conditionalFormatting xmlns:xm="http://schemas.microsoft.com/office/excel/2006/main">
          <x14:cfRule type="containsText" priority="3127" operator="containsText" id="{16E3355D-EC6C-4B06-8C1F-33D3D263AFF2}">
            <xm:f>NOT(ISERROR(SEARCH($Q$12,AL682)))</xm:f>
            <xm:f>$Q$12</xm:f>
            <x14:dxf>
              <fill>
                <patternFill>
                  <bgColor theme="9" tint="0.39994506668294322"/>
                </patternFill>
              </fill>
            </x14:dxf>
          </x14:cfRule>
          <x14:cfRule type="containsText" priority="3128" operator="containsText" id="{43F961EB-64D7-4609-9B14-E0A428BA4CAD}">
            <xm:f>NOT(ISERROR(SEARCH($Q$12,AL682)))</xm:f>
            <xm:f>$Q$12</xm:f>
            <x14:dxf>
              <fill>
                <patternFill>
                  <bgColor rgb="FF00B050"/>
                </patternFill>
              </fill>
            </x14:dxf>
          </x14:cfRule>
          <x14:cfRule type="containsText" priority="3130" operator="containsText" id="{1A34912A-2AA0-497C-908C-C385B46BBA8D}">
            <xm:f>NOT(ISERROR(SEARCH($Q$12,AL682)))</xm:f>
            <xm:f>$Q$12</xm:f>
            <x14:dxf>
              <fill>
                <patternFill>
                  <bgColor rgb="FFFFFF00"/>
                </patternFill>
              </fill>
            </x14:dxf>
          </x14:cfRule>
          <x14:cfRule type="containsText" priority="3131" operator="containsText" id="{BCEBDC20-B934-40FC-9E47-718A1857E60A}">
            <xm:f>NOT(ISERROR(SEARCH($Q$12,AL682)))</xm:f>
            <xm:f>$Q$12</xm:f>
            <x14:dxf>
              <fill>
                <patternFill>
                  <bgColor rgb="FFFFC000"/>
                </patternFill>
              </fill>
            </x14:dxf>
          </x14:cfRule>
          <x14:cfRule type="containsText" priority="3132" operator="containsText" id="{1B4E0358-AC2C-4E01-A561-FA3016EB0609}">
            <xm:f>NOT(ISERROR(SEARCH($Q$12,AL682)))</xm:f>
            <xm:f>$Q$12</xm:f>
            <x14:dxf>
              <fill>
                <patternFill>
                  <bgColor rgb="FFFF0000"/>
                </patternFill>
              </fill>
            </x14:dxf>
          </x14:cfRule>
          <x14:cfRule type="containsText" priority="3133" operator="containsText" id="{C4B5574E-A421-41A2-B7EE-A020997240E9}">
            <xm:f>NOT(ISERROR(SEARCH($Q$12,AL682)))</xm:f>
            <xm:f>$Q$12</xm:f>
            <x14:dxf>
              <fill>
                <patternFill>
                  <bgColor theme="9" tint="0.59996337778862885"/>
                </patternFill>
              </fill>
            </x14:dxf>
          </x14:cfRule>
          <x14:cfRule type="containsText" priority="3134" operator="containsText" id="{28823010-1766-46BE-8C54-187518EF3FB9}">
            <xm:f>NOT(ISERROR(SEARCH($Q$12,AL682)))</xm:f>
            <xm:f>$Q$12</xm:f>
            <x14:dxf>
              <fill>
                <patternFill>
                  <bgColor theme="9"/>
                </patternFill>
              </fill>
            </x14:dxf>
          </x14:cfRule>
          <x14:cfRule type="containsText" priority="3136" operator="containsText" id="{E5FC43A0-8AF4-4C1D-8993-1881DD56085B}">
            <xm:f>NOT(ISERROR(SEARCH($Q$12,AL682)))</xm:f>
            <xm:f>$Q$12</xm:f>
            <x14:dxf>
              <fill>
                <patternFill>
                  <bgColor rgb="FFFFC000"/>
                </patternFill>
              </fill>
            </x14:dxf>
          </x14:cfRule>
          <x14:cfRule type="containsText" priority="3137" operator="containsText" id="{8F851C86-D055-4E2D-8CCA-8F0B375EB7BC}">
            <xm:f>NOT(ISERROR(SEARCH($Q$12,AL682)))</xm:f>
            <xm:f>$Q$12</xm:f>
            <x14:dxf>
              <fill>
                <patternFill>
                  <bgColor rgb="FFFF0000"/>
                </patternFill>
              </fill>
            </x14:dxf>
          </x14:cfRule>
          <x14:cfRule type="containsText" priority="3125" operator="containsText" id="{52466FC7-BDDE-488F-B1B2-74CB3F2B3530}">
            <xm:f>NOT(ISERROR(SEARCH($Q$12,AL682)))</xm:f>
            <xm:f>$Q$12</xm:f>
            <x14:dxf>
              <fill>
                <patternFill>
                  <bgColor rgb="FFFFFF00"/>
                </patternFill>
              </fill>
            </x14:dxf>
          </x14:cfRule>
          <x14:cfRule type="containsText" priority="3126" operator="containsText" id="{6D7D1108-12A7-4B9E-BE76-067F92DC58F7}">
            <xm:f>NOT(ISERROR(SEARCH($Q$12,AL682)))</xm:f>
            <xm:f>$Q$12</xm:f>
            <x14:dxf>
              <fill>
                <patternFill>
                  <bgColor theme="9" tint="0.79998168889431442"/>
                </patternFill>
              </fill>
            </x14:dxf>
          </x14:cfRule>
          <xm:sqref>AL682</xm:sqref>
        </x14:conditionalFormatting>
        <x14:conditionalFormatting xmlns:xm="http://schemas.microsoft.com/office/excel/2006/main">
          <x14:cfRule type="containsText" priority="3110" operator="containsText" id="{2516D98F-D0ED-4369-9DE9-3067DA3EE89F}">
            <xm:f>NOT(ISERROR(SEARCH($Q$12,AL692)))</xm:f>
            <xm:f>$Q$12</xm:f>
            <x14:dxf>
              <fill>
                <patternFill>
                  <bgColor rgb="FFFFC000"/>
                </patternFill>
              </fill>
            </x14:dxf>
          </x14:cfRule>
          <x14:cfRule type="containsText" priority="3111" operator="containsText" id="{1FD6FEE9-80A0-4D08-A384-558F9F06A7BE}">
            <xm:f>NOT(ISERROR(SEARCH($Q$12,AL692)))</xm:f>
            <xm:f>$Q$12</xm:f>
            <x14:dxf>
              <fill>
                <patternFill>
                  <bgColor rgb="FFFF0000"/>
                </patternFill>
              </fill>
            </x14:dxf>
          </x14:cfRule>
          <x14:cfRule type="containsText" priority="3108" operator="containsText" id="{ADC728CE-37CC-4313-BEA0-404F960E2DCE}">
            <xm:f>NOT(ISERROR(SEARCH($Q$12,AL692)))</xm:f>
            <xm:f>$Q$12</xm:f>
            <x14:dxf>
              <fill>
                <patternFill>
                  <bgColor theme="9"/>
                </patternFill>
              </fill>
            </x14:dxf>
          </x14:cfRule>
          <x14:cfRule type="containsText" priority="3107" operator="containsText" id="{2D08A0D8-7002-4B66-B296-8658C72BB189}">
            <xm:f>NOT(ISERROR(SEARCH($Q$12,AL692)))</xm:f>
            <xm:f>$Q$12</xm:f>
            <x14:dxf>
              <fill>
                <patternFill>
                  <bgColor theme="9" tint="0.59996337778862885"/>
                </patternFill>
              </fill>
            </x14:dxf>
          </x14:cfRule>
          <x14:cfRule type="containsText" priority="3099" operator="containsText" id="{73F87564-3E78-4758-BBA0-5A5B43C145C8}">
            <xm:f>NOT(ISERROR(SEARCH($Q$12,AL692)))</xm:f>
            <xm:f>$Q$12</xm:f>
            <x14:dxf>
              <fill>
                <patternFill>
                  <bgColor rgb="FFFFFF00"/>
                </patternFill>
              </fill>
            </x14:dxf>
          </x14:cfRule>
          <x14:cfRule type="containsText" priority="3102" operator="containsText" id="{06E1527B-AF5D-418C-9ACA-B7512F3AAD4D}">
            <xm:f>NOT(ISERROR(SEARCH($Q$12,AL692)))</xm:f>
            <xm:f>$Q$12</xm:f>
            <x14:dxf>
              <fill>
                <patternFill>
                  <bgColor rgb="FF00B050"/>
                </patternFill>
              </fill>
            </x14:dxf>
          </x14:cfRule>
          <x14:cfRule type="containsText" priority="3104" operator="containsText" id="{F9A6062D-885D-4647-A6D9-4A1DF979E199}">
            <xm:f>NOT(ISERROR(SEARCH($Q$12,AL692)))</xm:f>
            <xm:f>$Q$12</xm:f>
            <x14:dxf>
              <fill>
                <patternFill>
                  <bgColor rgb="FFFFFF00"/>
                </patternFill>
              </fill>
            </x14:dxf>
          </x14:cfRule>
          <x14:cfRule type="containsText" priority="3105" operator="containsText" id="{329C7F79-C955-4DF0-9940-A74FFAD5CE81}">
            <xm:f>NOT(ISERROR(SEARCH($Q$12,AL692)))</xm:f>
            <xm:f>$Q$12</xm:f>
            <x14:dxf>
              <fill>
                <patternFill>
                  <bgColor rgb="FFFFC000"/>
                </patternFill>
              </fill>
            </x14:dxf>
          </x14:cfRule>
          <x14:cfRule type="containsText" priority="3106" operator="containsText" id="{FE986B5F-2C99-4CF8-9B47-B887AB807251}">
            <xm:f>NOT(ISERROR(SEARCH($Q$12,AL692)))</xm:f>
            <xm:f>$Q$12</xm:f>
            <x14:dxf>
              <fill>
                <patternFill>
                  <bgColor rgb="FFFF0000"/>
                </patternFill>
              </fill>
            </x14:dxf>
          </x14:cfRule>
          <x14:cfRule type="containsText" priority="3100" operator="containsText" id="{2E7564E5-6728-4037-AA61-BC4267394CA1}">
            <xm:f>NOT(ISERROR(SEARCH($Q$12,AL692)))</xm:f>
            <xm:f>$Q$12</xm:f>
            <x14:dxf>
              <fill>
                <patternFill>
                  <bgColor theme="9" tint="0.79998168889431442"/>
                </patternFill>
              </fill>
            </x14:dxf>
          </x14:cfRule>
          <x14:cfRule type="containsText" priority="3101" operator="containsText" id="{B67AD1DC-E5FB-43FC-9B3C-CE889B36B98F}">
            <xm:f>NOT(ISERROR(SEARCH($Q$12,AL692)))</xm:f>
            <xm:f>$Q$12</xm:f>
            <x14:dxf>
              <fill>
                <patternFill>
                  <bgColor theme="9" tint="0.39994506668294322"/>
                </patternFill>
              </fill>
            </x14:dxf>
          </x14:cfRule>
          <xm:sqref>AL692</xm:sqref>
        </x14:conditionalFormatting>
        <x14:conditionalFormatting xmlns:xm="http://schemas.microsoft.com/office/excel/2006/main">
          <x14:cfRule type="containsText" priority="3079" operator="containsText" id="{10EEBC25-C21F-42E6-874D-1BA452742F64}">
            <xm:f>NOT(ISERROR(SEARCH($Q$12,AL702)))</xm:f>
            <xm:f>$Q$12</xm:f>
            <x14:dxf>
              <fill>
                <patternFill>
                  <bgColor rgb="FFFFC000"/>
                </patternFill>
              </fill>
            </x14:dxf>
          </x14:cfRule>
          <x14:cfRule type="containsText" priority="3078" operator="containsText" id="{40A2AC08-C286-4911-A778-F6728F8F0AA5}">
            <xm:f>NOT(ISERROR(SEARCH($Q$12,AL702)))</xm:f>
            <xm:f>$Q$12</xm:f>
            <x14:dxf>
              <fill>
                <patternFill>
                  <bgColor rgb="FFFFFF00"/>
                </patternFill>
              </fill>
            </x14:dxf>
          </x14:cfRule>
          <x14:cfRule type="containsText" priority="3076" operator="containsText" id="{342B021E-4261-41B9-AF1C-7960D2404F49}">
            <xm:f>NOT(ISERROR(SEARCH($Q$12,AL702)))</xm:f>
            <xm:f>$Q$12</xm:f>
            <x14:dxf>
              <fill>
                <patternFill>
                  <bgColor rgb="FF00B050"/>
                </patternFill>
              </fill>
            </x14:dxf>
          </x14:cfRule>
          <x14:cfRule type="containsText" priority="3075" operator="containsText" id="{A9A3F645-61E2-4376-A806-AB7151B2659B}">
            <xm:f>NOT(ISERROR(SEARCH($Q$12,AL702)))</xm:f>
            <xm:f>$Q$12</xm:f>
            <x14:dxf>
              <fill>
                <patternFill>
                  <bgColor theme="9" tint="0.39994506668294322"/>
                </patternFill>
              </fill>
            </x14:dxf>
          </x14:cfRule>
          <x14:cfRule type="containsText" priority="3074" operator="containsText" id="{AE46CF99-636A-490A-8F7D-EFFAE83BBF69}">
            <xm:f>NOT(ISERROR(SEARCH($Q$12,AL702)))</xm:f>
            <xm:f>$Q$12</xm:f>
            <x14:dxf>
              <fill>
                <patternFill>
                  <bgColor theme="9" tint="0.79998168889431442"/>
                </patternFill>
              </fill>
            </x14:dxf>
          </x14:cfRule>
          <x14:cfRule type="containsText" priority="3084" operator="containsText" id="{898ED411-FA26-4B37-A41B-91F309C3C081}">
            <xm:f>NOT(ISERROR(SEARCH($Q$12,AL702)))</xm:f>
            <xm:f>$Q$12</xm:f>
            <x14:dxf>
              <fill>
                <patternFill>
                  <bgColor rgb="FFFFC000"/>
                </patternFill>
              </fill>
            </x14:dxf>
          </x14:cfRule>
          <x14:cfRule type="containsText" priority="3085" operator="containsText" id="{4F8A5622-6612-419A-B8A4-3D5F576356ED}">
            <xm:f>NOT(ISERROR(SEARCH($Q$12,AL702)))</xm:f>
            <xm:f>$Q$12</xm:f>
            <x14:dxf>
              <fill>
                <patternFill>
                  <bgColor rgb="FFFF0000"/>
                </patternFill>
              </fill>
            </x14:dxf>
          </x14:cfRule>
          <x14:cfRule type="containsText" priority="3073" operator="containsText" id="{171B4253-3013-449D-9F74-2605C8F0F301}">
            <xm:f>NOT(ISERROR(SEARCH($Q$12,AL702)))</xm:f>
            <xm:f>$Q$12</xm:f>
            <x14:dxf>
              <fill>
                <patternFill>
                  <bgColor rgb="FFFFFF00"/>
                </patternFill>
              </fill>
            </x14:dxf>
          </x14:cfRule>
          <x14:cfRule type="containsText" priority="3082" operator="containsText" id="{C26827F0-7199-4E65-8D08-897BEFBA5825}">
            <xm:f>NOT(ISERROR(SEARCH($Q$12,AL702)))</xm:f>
            <xm:f>$Q$12</xm:f>
            <x14:dxf>
              <fill>
                <patternFill>
                  <bgColor theme="9"/>
                </patternFill>
              </fill>
            </x14:dxf>
          </x14:cfRule>
          <x14:cfRule type="containsText" priority="3080" operator="containsText" id="{EAA7FFD9-E84F-4621-9FF5-73C1F9F67052}">
            <xm:f>NOT(ISERROR(SEARCH($Q$12,AL702)))</xm:f>
            <xm:f>$Q$12</xm:f>
            <x14:dxf>
              <fill>
                <patternFill>
                  <bgColor rgb="FFFF0000"/>
                </patternFill>
              </fill>
            </x14:dxf>
          </x14:cfRule>
          <x14:cfRule type="containsText" priority="3081" operator="containsText" id="{54609D6B-20FE-4A53-B640-53E4F55DBF92}">
            <xm:f>NOT(ISERROR(SEARCH($Q$12,AL702)))</xm:f>
            <xm:f>$Q$12</xm:f>
            <x14:dxf>
              <fill>
                <patternFill>
                  <bgColor theme="9" tint="0.59996337778862885"/>
                </patternFill>
              </fill>
            </x14:dxf>
          </x14:cfRule>
          <xm:sqref>AL702</xm:sqref>
        </x14:conditionalFormatting>
        <x14:conditionalFormatting xmlns:xm="http://schemas.microsoft.com/office/excel/2006/main">
          <x14:cfRule type="containsText" priority="3059" operator="containsText" id="{9F367B14-8E58-4A69-9653-EABFC0E8A2E6}">
            <xm:f>NOT(ISERROR(SEARCH($Q$12,AL712)))</xm:f>
            <xm:f>$Q$12</xm:f>
            <x14:dxf>
              <fill>
                <patternFill>
                  <bgColor rgb="FFFF0000"/>
                </patternFill>
              </fill>
            </x14:dxf>
          </x14:cfRule>
          <x14:cfRule type="containsText" priority="3058" operator="containsText" id="{176231B8-0927-4282-BED1-69233A536E63}">
            <xm:f>NOT(ISERROR(SEARCH($Q$12,AL712)))</xm:f>
            <xm:f>$Q$12</xm:f>
            <x14:dxf>
              <fill>
                <patternFill>
                  <bgColor rgb="FFFFC000"/>
                </patternFill>
              </fill>
            </x14:dxf>
          </x14:cfRule>
          <x14:cfRule type="containsText" priority="3056" operator="containsText" id="{9744A0F8-510D-496E-9EEE-D1AE6903A8BC}">
            <xm:f>NOT(ISERROR(SEARCH($Q$12,AL712)))</xm:f>
            <xm:f>$Q$12</xm:f>
            <x14:dxf>
              <fill>
                <patternFill>
                  <bgColor theme="9"/>
                </patternFill>
              </fill>
            </x14:dxf>
          </x14:cfRule>
          <x14:cfRule type="containsText" priority="3055" operator="containsText" id="{E6655622-7307-459C-B459-11FF1CAC7603}">
            <xm:f>NOT(ISERROR(SEARCH($Q$12,AL712)))</xm:f>
            <xm:f>$Q$12</xm:f>
            <x14:dxf>
              <fill>
                <patternFill>
                  <bgColor theme="9" tint="0.59996337778862885"/>
                </patternFill>
              </fill>
            </x14:dxf>
          </x14:cfRule>
          <x14:cfRule type="containsText" priority="3054" operator="containsText" id="{2C4583BE-2447-491A-957E-F7EFE977D3AE}">
            <xm:f>NOT(ISERROR(SEARCH($Q$12,AL712)))</xm:f>
            <xm:f>$Q$12</xm:f>
            <x14:dxf>
              <fill>
                <patternFill>
                  <bgColor rgb="FFFF0000"/>
                </patternFill>
              </fill>
            </x14:dxf>
          </x14:cfRule>
          <x14:cfRule type="containsText" priority="3052" operator="containsText" id="{00CD1A82-EEF1-4ED8-A028-A54283CB694C}">
            <xm:f>NOT(ISERROR(SEARCH($Q$12,AL712)))</xm:f>
            <xm:f>$Q$12</xm:f>
            <x14:dxf>
              <fill>
                <patternFill>
                  <bgColor rgb="FFFFFF00"/>
                </patternFill>
              </fill>
            </x14:dxf>
          </x14:cfRule>
          <x14:cfRule type="containsText" priority="3050" operator="containsText" id="{8905CA91-B29E-4449-9E1D-59B7236AA535}">
            <xm:f>NOT(ISERROR(SEARCH($Q$12,AL712)))</xm:f>
            <xm:f>$Q$12</xm:f>
            <x14:dxf>
              <fill>
                <patternFill>
                  <bgColor rgb="FF00B050"/>
                </patternFill>
              </fill>
            </x14:dxf>
          </x14:cfRule>
          <x14:cfRule type="containsText" priority="3049" operator="containsText" id="{84905826-5675-4FD1-A3B1-C77EB30AEDA5}">
            <xm:f>NOT(ISERROR(SEARCH($Q$12,AL712)))</xm:f>
            <xm:f>$Q$12</xm:f>
            <x14:dxf>
              <fill>
                <patternFill>
                  <bgColor theme="9" tint="0.39994506668294322"/>
                </patternFill>
              </fill>
            </x14:dxf>
          </x14:cfRule>
          <x14:cfRule type="containsText" priority="3048" operator="containsText" id="{C57DD128-7122-41B2-BC4B-C2304B90916D}">
            <xm:f>NOT(ISERROR(SEARCH($Q$12,AL712)))</xm:f>
            <xm:f>$Q$12</xm:f>
            <x14:dxf>
              <fill>
                <patternFill>
                  <bgColor theme="9" tint="0.79998168889431442"/>
                </patternFill>
              </fill>
            </x14:dxf>
          </x14:cfRule>
          <x14:cfRule type="containsText" priority="3047" operator="containsText" id="{6C07E4B1-78C9-4B21-9EEC-C07FA476A45F}">
            <xm:f>NOT(ISERROR(SEARCH($Q$12,AL712)))</xm:f>
            <xm:f>$Q$12</xm:f>
            <x14:dxf>
              <fill>
                <patternFill>
                  <bgColor rgb="FFFFFF00"/>
                </patternFill>
              </fill>
            </x14:dxf>
          </x14:cfRule>
          <x14:cfRule type="containsText" priority="3053" operator="containsText" id="{B0303142-D04E-447A-9A06-D8B93ECB128C}">
            <xm:f>NOT(ISERROR(SEARCH($Q$12,AL712)))</xm:f>
            <xm:f>$Q$12</xm:f>
            <x14:dxf>
              <fill>
                <patternFill>
                  <bgColor rgb="FFFFC000"/>
                </patternFill>
              </fill>
            </x14:dxf>
          </x14:cfRule>
          <xm:sqref>AL712</xm:sqref>
        </x14:conditionalFormatting>
        <x14:conditionalFormatting xmlns:xm="http://schemas.microsoft.com/office/excel/2006/main">
          <x14:cfRule type="containsText" priority="2423" operator="containsText" id="{3B95E171-68A7-42E0-B7A0-70C43564C1D1}">
            <xm:f>NOT(ISERROR(SEARCH($Q$12,AL722)))</xm:f>
            <xm:f>$Q$12</xm:f>
            <x14:dxf>
              <fill>
                <patternFill>
                  <bgColor rgb="FFFF0000"/>
                </patternFill>
              </fill>
            </x14:dxf>
          </x14:cfRule>
          <x14:cfRule type="containsText" priority="2420" operator="containsText" id="{C85CC29D-6A8F-4A7E-B9CC-64A6CD4F16D2}">
            <xm:f>NOT(ISERROR(SEARCH($Q$12,AL722)))</xm:f>
            <xm:f>$Q$12</xm:f>
            <x14:dxf>
              <fill>
                <patternFill>
                  <bgColor theme="9"/>
                </patternFill>
              </fill>
            </x14:dxf>
          </x14:cfRule>
          <x14:cfRule type="containsText" priority="2422" operator="containsText" id="{A709124E-477E-43E8-85A7-419AFC63CCD2}">
            <xm:f>NOT(ISERROR(SEARCH($Q$12,AL722)))</xm:f>
            <xm:f>$Q$12</xm:f>
            <x14:dxf>
              <fill>
                <patternFill>
                  <bgColor rgb="FFFFC000"/>
                </patternFill>
              </fill>
            </x14:dxf>
          </x14:cfRule>
          <x14:cfRule type="containsText" priority="2419" operator="containsText" id="{D8CE2F54-3C2F-4ED6-8D95-CCD0FD5B7270}">
            <xm:f>NOT(ISERROR(SEARCH($Q$12,AL722)))</xm:f>
            <xm:f>$Q$12</xm:f>
            <x14:dxf>
              <fill>
                <patternFill>
                  <bgColor theme="9" tint="0.59996337778862885"/>
                </patternFill>
              </fill>
            </x14:dxf>
          </x14:cfRule>
          <x14:cfRule type="containsText" priority="2412" operator="containsText" id="{C95F8140-BC79-4B4D-8152-CB96B7AF64CE}">
            <xm:f>NOT(ISERROR(SEARCH($Q$12,AL722)))</xm:f>
            <xm:f>$Q$12</xm:f>
            <x14:dxf>
              <fill>
                <patternFill>
                  <bgColor theme="9" tint="0.79998168889431442"/>
                </patternFill>
              </fill>
            </x14:dxf>
          </x14:cfRule>
          <x14:cfRule type="containsText" priority="2411" operator="containsText" id="{5C28620E-DDFF-4AD0-83AC-A501E046D56C}">
            <xm:f>NOT(ISERROR(SEARCH($Q$12,AL722)))</xm:f>
            <xm:f>$Q$12</xm:f>
            <x14:dxf>
              <fill>
                <patternFill>
                  <bgColor rgb="FFFFFF00"/>
                </patternFill>
              </fill>
            </x14:dxf>
          </x14:cfRule>
          <x14:cfRule type="containsText" priority="2413" operator="containsText" id="{88959FB8-7B3F-4ACC-94AE-CC5D3F9B6951}">
            <xm:f>NOT(ISERROR(SEARCH($Q$12,AL722)))</xm:f>
            <xm:f>$Q$12</xm:f>
            <x14:dxf>
              <fill>
                <patternFill>
                  <bgColor theme="9" tint="0.39994506668294322"/>
                </patternFill>
              </fill>
            </x14:dxf>
          </x14:cfRule>
          <x14:cfRule type="containsText" priority="2414" operator="containsText" id="{8DBB98DA-798C-4D9E-9B95-71144155FC22}">
            <xm:f>NOT(ISERROR(SEARCH($Q$12,AL722)))</xm:f>
            <xm:f>$Q$12</xm:f>
            <x14:dxf>
              <fill>
                <patternFill>
                  <bgColor rgb="FF00B050"/>
                </patternFill>
              </fill>
            </x14:dxf>
          </x14:cfRule>
          <x14:cfRule type="containsText" priority="2416" operator="containsText" id="{FEB668C9-CB30-45DF-B6E8-395608CB7A66}">
            <xm:f>NOT(ISERROR(SEARCH($Q$12,AL722)))</xm:f>
            <xm:f>$Q$12</xm:f>
            <x14:dxf>
              <fill>
                <patternFill>
                  <bgColor rgb="FFFFFF00"/>
                </patternFill>
              </fill>
            </x14:dxf>
          </x14:cfRule>
          <x14:cfRule type="containsText" priority="2417" operator="containsText" id="{FE6C35B0-46B6-4D3A-B44E-A205E04860E9}">
            <xm:f>NOT(ISERROR(SEARCH($Q$12,AL722)))</xm:f>
            <xm:f>$Q$12</xm:f>
            <x14:dxf>
              <fill>
                <patternFill>
                  <bgColor rgb="FFFFC000"/>
                </patternFill>
              </fill>
            </x14:dxf>
          </x14:cfRule>
          <x14:cfRule type="containsText" priority="2418" operator="containsText" id="{AC407BAC-2F7B-42CA-B9FE-5F765BA59968}">
            <xm:f>NOT(ISERROR(SEARCH($Q$12,AL722)))</xm:f>
            <xm:f>$Q$12</xm:f>
            <x14:dxf>
              <fill>
                <patternFill>
                  <bgColor rgb="FFFF0000"/>
                </patternFill>
              </fill>
            </x14:dxf>
          </x14:cfRule>
          <xm:sqref>AL722</xm:sqref>
        </x14:conditionalFormatting>
        <x14:conditionalFormatting xmlns:xm="http://schemas.microsoft.com/office/excel/2006/main">
          <x14:cfRule type="containsText" priority="2394" operator="containsText" id="{829783F0-3E22-47AC-BFA8-65F28F67B8E5}">
            <xm:f>NOT(ISERROR(SEARCH($Q$12,AL732)))</xm:f>
            <xm:f>$Q$12</xm:f>
            <x14:dxf>
              <fill>
                <patternFill>
                  <bgColor theme="9"/>
                </patternFill>
              </fill>
            </x14:dxf>
          </x14:cfRule>
          <x14:cfRule type="containsText" priority="2385" operator="containsText" id="{B0F50A20-DF9E-4448-85D6-415B7A1D0F07}">
            <xm:f>NOT(ISERROR(SEARCH($Q$12,AL732)))</xm:f>
            <xm:f>$Q$12</xm:f>
            <x14:dxf>
              <fill>
                <patternFill>
                  <bgColor rgb="FFFFFF00"/>
                </patternFill>
              </fill>
            </x14:dxf>
          </x14:cfRule>
          <x14:cfRule type="containsText" priority="2397" operator="containsText" id="{36B00572-7032-43F8-BD6C-C4C9174FF5C4}">
            <xm:f>NOT(ISERROR(SEARCH($Q$12,AL732)))</xm:f>
            <xm:f>$Q$12</xm:f>
            <x14:dxf>
              <fill>
                <patternFill>
                  <bgColor rgb="FFFF0000"/>
                </patternFill>
              </fill>
            </x14:dxf>
          </x14:cfRule>
          <x14:cfRule type="containsText" priority="2386" operator="containsText" id="{9AB4BB88-2F9E-4484-8EC2-DE28999C10CB}">
            <xm:f>NOT(ISERROR(SEARCH($Q$12,AL732)))</xm:f>
            <xm:f>$Q$12</xm:f>
            <x14:dxf>
              <fill>
                <patternFill>
                  <bgColor theme="9" tint="0.79998168889431442"/>
                </patternFill>
              </fill>
            </x14:dxf>
          </x14:cfRule>
          <x14:cfRule type="containsText" priority="2387" operator="containsText" id="{1101DAE6-E7D1-43E0-ABB1-BB280FBD87DE}">
            <xm:f>NOT(ISERROR(SEARCH($Q$12,AL732)))</xm:f>
            <xm:f>$Q$12</xm:f>
            <x14:dxf>
              <fill>
                <patternFill>
                  <bgColor theme="9" tint="0.39994506668294322"/>
                </patternFill>
              </fill>
            </x14:dxf>
          </x14:cfRule>
          <x14:cfRule type="containsText" priority="2388" operator="containsText" id="{DA2C6A28-D6F1-4051-BF35-273045D34ED1}">
            <xm:f>NOT(ISERROR(SEARCH($Q$12,AL732)))</xm:f>
            <xm:f>$Q$12</xm:f>
            <x14:dxf>
              <fill>
                <patternFill>
                  <bgColor rgb="FF00B050"/>
                </patternFill>
              </fill>
            </x14:dxf>
          </x14:cfRule>
          <x14:cfRule type="containsText" priority="2390" operator="containsText" id="{FFEB2C0F-6CC5-4C0D-B201-1A9ACC4A5B58}">
            <xm:f>NOT(ISERROR(SEARCH($Q$12,AL732)))</xm:f>
            <xm:f>$Q$12</xm:f>
            <x14:dxf>
              <fill>
                <patternFill>
                  <bgColor rgb="FFFFFF00"/>
                </patternFill>
              </fill>
            </x14:dxf>
          </x14:cfRule>
          <x14:cfRule type="containsText" priority="2391" operator="containsText" id="{FDEEE3F2-4C82-4ED2-A2EC-7ECE3118ECEB}">
            <xm:f>NOT(ISERROR(SEARCH($Q$12,AL732)))</xm:f>
            <xm:f>$Q$12</xm:f>
            <x14:dxf>
              <fill>
                <patternFill>
                  <bgColor rgb="FFFFC000"/>
                </patternFill>
              </fill>
            </x14:dxf>
          </x14:cfRule>
          <x14:cfRule type="containsText" priority="2392" operator="containsText" id="{CD77F9CF-F28B-4739-A382-962CC11717E2}">
            <xm:f>NOT(ISERROR(SEARCH($Q$12,AL732)))</xm:f>
            <xm:f>$Q$12</xm:f>
            <x14:dxf>
              <fill>
                <patternFill>
                  <bgColor rgb="FFFF0000"/>
                </patternFill>
              </fill>
            </x14:dxf>
          </x14:cfRule>
          <x14:cfRule type="containsText" priority="2393" operator="containsText" id="{6D8CDD13-FF3E-4662-8774-47D0CE8F93AB}">
            <xm:f>NOT(ISERROR(SEARCH($Q$12,AL732)))</xm:f>
            <xm:f>$Q$12</xm:f>
            <x14:dxf>
              <fill>
                <patternFill>
                  <bgColor theme="9" tint="0.59996337778862885"/>
                </patternFill>
              </fill>
            </x14:dxf>
          </x14:cfRule>
          <x14:cfRule type="containsText" priority="2396" operator="containsText" id="{642FF04A-7F04-4119-BBE4-11868576A358}">
            <xm:f>NOT(ISERROR(SEARCH($Q$12,AL732)))</xm:f>
            <xm:f>$Q$12</xm:f>
            <x14:dxf>
              <fill>
                <patternFill>
                  <bgColor rgb="FFFFC000"/>
                </patternFill>
              </fill>
            </x14:dxf>
          </x14:cfRule>
          <xm:sqref>AL732</xm:sqref>
        </x14:conditionalFormatting>
        <x14:conditionalFormatting xmlns:xm="http://schemas.microsoft.com/office/excel/2006/main">
          <x14:cfRule type="containsText" priority="2368" operator="containsText" id="{C4D68D4F-B0D7-4487-97E7-6432F3F91DB8}">
            <xm:f>NOT(ISERROR(SEARCH($Q$12,AL742)))</xm:f>
            <xm:f>$Q$12</xm:f>
            <x14:dxf>
              <fill>
                <patternFill>
                  <bgColor theme="9"/>
                </patternFill>
              </fill>
            </x14:dxf>
          </x14:cfRule>
          <x14:cfRule type="containsText" priority="2370" operator="containsText" id="{EBA72DF2-DD38-4D73-8FE5-C14F178D4562}">
            <xm:f>NOT(ISERROR(SEARCH($Q$12,AL742)))</xm:f>
            <xm:f>$Q$12</xm:f>
            <x14:dxf>
              <fill>
                <patternFill>
                  <bgColor rgb="FFFFC000"/>
                </patternFill>
              </fill>
            </x14:dxf>
          </x14:cfRule>
          <x14:cfRule type="containsText" priority="2371" operator="containsText" id="{96592B74-1233-49CD-B308-81F717C29233}">
            <xm:f>NOT(ISERROR(SEARCH($Q$12,AL742)))</xm:f>
            <xm:f>$Q$12</xm:f>
            <x14:dxf>
              <fill>
                <patternFill>
                  <bgColor rgb="FFFF0000"/>
                </patternFill>
              </fill>
            </x14:dxf>
          </x14:cfRule>
          <x14:cfRule type="containsText" priority="2359" operator="containsText" id="{E63531F6-8DDA-4D4B-A1AF-C648AC9D1783}">
            <xm:f>NOT(ISERROR(SEARCH($Q$12,AL742)))</xm:f>
            <xm:f>$Q$12</xm:f>
            <x14:dxf>
              <fill>
                <patternFill>
                  <bgColor rgb="FFFFFF00"/>
                </patternFill>
              </fill>
            </x14:dxf>
          </x14:cfRule>
          <x14:cfRule type="containsText" priority="2360" operator="containsText" id="{B0499721-B7A9-4EE9-B7AC-5DA84ECA70B9}">
            <xm:f>NOT(ISERROR(SEARCH($Q$12,AL742)))</xm:f>
            <xm:f>$Q$12</xm:f>
            <x14:dxf>
              <fill>
                <patternFill>
                  <bgColor theme="9" tint="0.79998168889431442"/>
                </patternFill>
              </fill>
            </x14:dxf>
          </x14:cfRule>
          <x14:cfRule type="containsText" priority="2361" operator="containsText" id="{4C80C9C9-FDCC-499E-917B-76135CFB2816}">
            <xm:f>NOT(ISERROR(SEARCH($Q$12,AL742)))</xm:f>
            <xm:f>$Q$12</xm:f>
            <x14:dxf>
              <fill>
                <patternFill>
                  <bgColor theme="9" tint="0.39994506668294322"/>
                </patternFill>
              </fill>
            </x14:dxf>
          </x14:cfRule>
          <x14:cfRule type="containsText" priority="2362" operator="containsText" id="{CC630D16-E1EB-4840-AAB6-D3C7A0129E53}">
            <xm:f>NOT(ISERROR(SEARCH($Q$12,AL742)))</xm:f>
            <xm:f>$Q$12</xm:f>
            <x14:dxf>
              <fill>
                <patternFill>
                  <bgColor rgb="FF00B050"/>
                </patternFill>
              </fill>
            </x14:dxf>
          </x14:cfRule>
          <x14:cfRule type="containsText" priority="2364" operator="containsText" id="{F5E35E56-BF48-4A1D-8AD9-B0EE60026D03}">
            <xm:f>NOT(ISERROR(SEARCH($Q$12,AL742)))</xm:f>
            <xm:f>$Q$12</xm:f>
            <x14:dxf>
              <fill>
                <patternFill>
                  <bgColor rgb="FFFFFF00"/>
                </patternFill>
              </fill>
            </x14:dxf>
          </x14:cfRule>
          <x14:cfRule type="containsText" priority="2365" operator="containsText" id="{4A2E1129-1707-4BCC-8197-24138D53CBB2}">
            <xm:f>NOT(ISERROR(SEARCH($Q$12,AL742)))</xm:f>
            <xm:f>$Q$12</xm:f>
            <x14:dxf>
              <fill>
                <patternFill>
                  <bgColor rgb="FFFFC000"/>
                </patternFill>
              </fill>
            </x14:dxf>
          </x14:cfRule>
          <x14:cfRule type="containsText" priority="2366" operator="containsText" id="{7DBDF090-C91E-4598-88BB-519772756BD4}">
            <xm:f>NOT(ISERROR(SEARCH($Q$12,AL742)))</xm:f>
            <xm:f>$Q$12</xm:f>
            <x14:dxf>
              <fill>
                <patternFill>
                  <bgColor rgb="FFFF0000"/>
                </patternFill>
              </fill>
            </x14:dxf>
          </x14:cfRule>
          <x14:cfRule type="containsText" priority="2367" operator="containsText" id="{F369DC53-D4A2-4655-95A9-CE557A991AD7}">
            <xm:f>NOT(ISERROR(SEARCH($Q$12,AL742)))</xm:f>
            <xm:f>$Q$12</xm:f>
            <x14:dxf>
              <fill>
                <patternFill>
                  <bgColor theme="9" tint="0.59996337778862885"/>
                </patternFill>
              </fill>
            </x14:dxf>
          </x14:cfRule>
          <xm:sqref>AL742</xm:sqref>
        </x14:conditionalFormatting>
        <x14:conditionalFormatting xmlns:xm="http://schemas.microsoft.com/office/excel/2006/main">
          <x14:cfRule type="containsText" priority="2338" operator="containsText" id="{11E11881-CFCC-433D-BB7C-98F406EA0B52}">
            <xm:f>NOT(ISERROR(SEARCH($Q$12,AL752)))</xm:f>
            <xm:f>$Q$12</xm:f>
            <x14:dxf>
              <fill>
                <patternFill>
                  <bgColor rgb="FFFFFF00"/>
                </patternFill>
              </fill>
            </x14:dxf>
          </x14:cfRule>
          <x14:cfRule type="containsText" priority="2339" operator="containsText" id="{AB43367A-8A02-4CE8-AD34-E0819FDE04D0}">
            <xm:f>NOT(ISERROR(SEARCH($Q$12,AL752)))</xm:f>
            <xm:f>$Q$12</xm:f>
            <x14:dxf>
              <fill>
                <patternFill>
                  <bgColor rgb="FFFFC000"/>
                </patternFill>
              </fill>
            </x14:dxf>
          </x14:cfRule>
          <x14:cfRule type="containsText" priority="2336" operator="containsText" id="{874A0C77-02CD-4829-A968-2F7973A04E56}">
            <xm:f>NOT(ISERROR(SEARCH($Q$12,AL752)))</xm:f>
            <xm:f>$Q$12</xm:f>
            <x14:dxf>
              <fill>
                <patternFill>
                  <bgColor rgb="FF00B050"/>
                </patternFill>
              </fill>
            </x14:dxf>
          </x14:cfRule>
          <x14:cfRule type="containsText" priority="2335" operator="containsText" id="{A3FCB4A3-710D-4DFD-9E22-542E6C2AFEC1}">
            <xm:f>NOT(ISERROR(SEARCH($Q$12,AL752)))</xm:f>
            <xm:f>$Q$12</xm:f>
            <x14:dxf>
              <fill>
                <patternFill>
                  <bgColor theme="9" tint="0.39994506668294322"/>
                </patternFill>
              </fill>
            </x14:dxf>
          </x14:cfRule>
          <x14:cfRule type="containsText" priority="2333" operator="containsText" id="{281C9529-1F7A-48DF-9811-CB955EE685A3}">
            <xm:f>NOT(ISERROR(SEARCH($Q$12,AL752)))</xm:f>
            <xm:f>$Q$12</xm:f>
            <x14:dxf>
              <fill>
                <patternFill>
                  <bgColor rgb="FFFFFF00"/>
                </patternFill>
              </fill>
            </x14:dxf>
          </x14:cfRule>
          <x14:cfRule type="containsText" priority="2334" operator="containsText" id="{A56D93F3-D26B-4A75-B52D-97BAAE46E6A9}">
            <xm:f>NOT(ISERROR(SEARCH($Q$12,AL752)))</xm:f>
            <xm:f>$Q$12</xm:f>
            <x14:dxf>
              <fill>
                <patternFill>
                  <bgColor theme="9" tint="0.79998168889431442"/>
                </patternFill>
              </fill>
            </x14:dxf>
          </x14:cfRule>
          <x14:cfRule type="containsText" priority="2342" operator="containsText" id="{D78DC989-4D92-44B5-BBF4-137378250D84}">
            <xm:f>NOT(ISERROR(SEARCH($Q$12,AL752)))</xm:f>
            <xm:f>$Q$12</xm:f>
            <x14:dxf>
              <fill>
                <patternFill>
                  <bgColor theme="9"/>
                </patternFill>
              </fill>
            </x14:dxf>
          </x14:cfRule>
          <x14:cfRule type="containsText" priority="2341" operator="containsText" id="{0D6C6ABB-1AD9-45E9-8826-CDAC2C792E09}">
            <xm:f>NOT(ISERROR(SEARCH($Q$12,AL752)))</xm:f>
            <xm:f>$Q$12</xm:f>
            <x14:dxf>
              <fill>
                <patternFill>
                  <bgColor theme="9" tint="0.59996337778862885"/>
                </patternFill>
              </fill>
            </x14:dxf>
          </x14:cfRule>
          <x14:cfRule type="containsText" priority="2340" operator="containsText" id="{CF9E2EB9-959D-449D-BDE9-5E3950F29FB9}">
            <xm:f>NOT(ISERROR(SEARCH($Q$12,AL752)))</xm:f>
            <xm:f>$Q$12</xm:f>
            <x14:dxf>
              <fill>
                <patternFill>
                  <bgColor rgb="FFFF0000"/>
                </patternFill>
              </fill>
            </x14:dxf>
          </x14:cfRule>
          <x14:cfRule type="containsText" priority="2345" operator="containsText" id="{91B51F06-1325-4B54-8BC3-4D441AB473CE}">
            <xm:f>NOT(ISERROR(SEARCH($Q$12,AL752)))</xm:f>
            <xm:f>$Q$12</xm:f>
            <x14:dxf>
              <fill>
                <patternFill>
                  <bgColor rgb="FFFF0000"/>
                </patternFill>
              </fill>
            </x14:dxf>
          </x14:cfRule>
          <x14:cfRule type="containsText" priority="2344" operator="containsText" id="{AA8B855B-196F-4DE8-AAAD-F8EEAA0F0AEF}">
            <xm:f>NOT(ISERROR(SEARCH($Q$12,AL752)))</xm:f>
            <xm:f>$Q$12</xm:f>
            <x14:dxf>
              <fill>
                <patternFill>
                  <bgColor rgb="FFFFC000"/>
                </patternFill>
              </fill>
            </x14:dxf>
          </x14:cfRule>
          <xm:sqref>AL752</xm:sqref>
        </x14:conditionalFormatting>
        <x14:conditionalFormatting xmlns:xm="http://schemas.microsoft.com/office/excel/2006/main">
          <x14:cfRule type="containsText" priority="2316" operator="containsText" id="{083EFB4A-EBEC-4CEE-B1CA-0471D7639700}">
            <xm:f>NOT(ISERROR(SEARCH($Q$12,AL762)))</xm:f>
            <xm:f>$Q$12</xm:f>
            <x14:dxf>
              <fill>
                <patternFill>
                  <bgColor theme="9"/>
                </patternFill>
              </fill>
            </x14:dxf>
          </x14:cfRule>
          <x14:cfRule type="containsText" priority="2315" operator="containsText" id="{D0E7494A-C00C-41DC-AE5B-6B8F5B0B2B09}">
            <xm:f>NOT(ISERROR(SEARCH($Q$12,AL762)))</xm:f>
            <xm:f>$Q$12</xm:f>
            <x14:dxf>
              <fill>
                <patternFill>
                  <bgColor theme="9" tint="0.59996337778862885"/>
                </patternFill>
              </fill>
            </x14:dxf>
          </x14:cfRule>
          <x14:cfRule type="containsText" priority="2318" operator="containsText" id="{E2ACD0CF-FD7E-4BA7-99CA-1498A81095B8}">
            <xm:f>NOT(ISERROR(SEARCH($Q$12,AL762)))</xm:f>
            <xm:f>$Q$12</xm:f>
            <x14:dxf>
              <fill>
                <patternFill>
                  <bgColor rgb="FFFFC000"/>
                </patternFill>
              </fill>
            </x14:dxf>
          </x14:cfRule>
          <x14:cfRule type="containsText" priority="2319" operator="containsText" id="{142E41E2-C6DF-4B19-A12F-B2D0BEADF594}">
            <xm:f>NOT(ISERROR(SEARCH($Q$12,AL762)))</xm:f>
            <xm:f>$Q$12</xm:f>
            <x14:dxf>
              <fill>
                <patternFill>
                  <bgColor rgb="FFFF0000"/>
                </patternFill>
              </fill>
            </x14:dxf>
          </x14:cfRule>
          <x14:cfRule type="containsText" priority="2312" operator="containsText" id="{BA4F59D0-E4FF-4884-A85C-4F872F48107E}">
            <xm:f>NOT(ISERROR(SEARCH($Q$12,AL762)))</xm:f>
            <xm:f>$Q$12</xm:f>
            <x14:dxf>
              <fill>
                <patternFill>
                  <bgColor rgb="FFFFFF00"/>
                </patternFill>
              </fill>
            </x14:dxf>
          </x14:cfRule>
          <x14:cfRule type="containsText" priority="2310" operator="containsText" id="{D5527A64-283C-41F0-A4DF-99DD0DC33BDD}">
            <xm:f>NOT(ISERROR(SEARCH($Q$12,AL762)))</xm:f>
            <xm:f>$Q$12</xm:f>
            <x14:dxf>
              <fill>
                <patternFill>
                  <bgColor rgb="FF00B050"/>
                </patternFill>
              </fill>
            </x14:dxf>
          </x14:cfRule>
          <x14:cfRule type="containsText" priority="2309" operator="containsText" id="{9879B7C7-8AF6-4A1D-B614-09148283AB3C}">
            <xm:f>NOT(ISERROR(SEARCH($Q$12,AL762)))</xm:f>
            <xm:f>$Q$12</xm:f>
            <x14:dxf>
              <fill>
                <patternFill>
                  <bgColor theme="9" tint="0.39994506668294322"/>
                </patternFill>
              </fill>
            </x14:dxf>
          </x14:cfRule>
          <x14:cfRule type="containsText" priority="2308" operator="containsText" id="{1E9090E9-6F12-4A99-8190-86DD36C640AD}">
            <xm:f>NOT(ISERROR(SEARCH($Q$12,AL762)))</xm:f>
            <xm:f>$Q$12</xm:f>
            <x14:dxf>
              <fill>
                <patternFill>
                  <bgColor theme="9" tint="0.79998168889431442"/>
                </patternFill>
              </fill>
            </x14:dxf>
          </x14:cfRule>
          <x14:cfRule type="containsText" priority="2307" operator="containsText" id="{C4F63E6A-C0BE-40DF-A384-80569662C7D8}">
            <xm:f>NOT(ISERROR(SEARCH($Q$12,AL762)))</xm:f>
            <xm:f>$Q$12</xm:f>
            <x14:dxf>
              <fill>
                <patternFill>
                  <bgColor rgb="FFFFFF00"/>
                </patternFill>
              </fill>
            </x14:dxf>
          </x14:cfRule>
          <x14:cfRule type="containsText" priority="2314" operator="containsText" id="{8D2E9D0F-F67F-4334-894E-0F9888C26D23}">
            <xm:f>NOT(ISERROR(SEARCH($Q$12,AL762)))</xm:f>
            <xm:f>$Q$12</xm:f>
            <x14:dxf>
              <fill>
                <patternFill>
                  <bgColor rgb="FFFF0000"/>
                </patternFill>
              </fill>
            </x14:dxf>
          </x14:cfRule>
          <x14:cfRule type="containsText" priority="2313" operator="containsText" id="{15D743B2-48E9-4061-A41B-3A8515CFCD0E}">
            <xm:f>NOT(ISERROR(SEARCH($Q$12,AL762)))</xm:f>
            <xm:f>$Q$12</xm:f>
            <x14:dxf>
              <fill>
                <patternFill>
                  <bgColor rgb="FFFFC000"/>
                </patternFill>
              </fill>
            </x14:dxf>
          </x14:cfRule>
          <xm:sqref>AL762</xm:sqref>
        </x14:conditionalFormatting>
        <x14:conditionalFormatting xmlns:xm="http://schemas.microsoft.com/office/excel/2006/main">
          <x14:cfRule type="containsText" priority="2287" operator="containsText" id="{48A18955-22FB-4053-9FAD-DEE2574F8184}">
            <xm:f>NOT(ISERROR(SEARCH($Q$12,AL772)))</xm:f>
            <xm:f>$Q$12</xm:f>
            <x14:dxf>
              <fill>
                <patternFill>
                  <bgColor rgb="FFFFC000"/>
                </patternFill>
              </fill>
            </x14:dxf>
          </x14:cfRule>
          <x14:cfRule type="containsText" priority="2292" operator="containsText" id="{F59B8F98-6B3E-4C1D-9E68-3AE8242676DC}">
            <xm:f>NOT(ISERROR(SEARCH($Q$12,AL772)))</xm:f>
            <xm:f>$Q$12</xm:f>
            <x14:dxf>
              <fill>
                <patternFill>
                  <bgColor rgb="FFFFC000"/>
                </patternFill>
              </fill>
            </x14:dxf>
          </x14:cfRule>
          <x14:cfRule type="containsText" priority="2282" operator="containsText" id="{6DF90405-6CCB-4DCB-B54A-16564EAC3B42}">
            <xm:f>NOT(ISERROR(SEARCH($Q$12,AL772)))</xm:f>
            <xm:f>$Q$12</xm:f>
            <x14:dxf>
              <fill>
                <patternFill>
                  <bgColor theme="9" tint="0.79998168889431442"/>
                </patternFill>
              </fill>
            </x14:dxf>
          </x14:cfRule>
          <x14:cfRule type="containsText" priority="2281" operator="containsText" id="{4CAF3E0B-1813-4803-9E74-E68BD52A9086}">
            <xm:f>NOT(ISERROR(SEARCH($Q$12,AL772)))</xm:f>
            <xm:f>$Q$12</xm:f>
            <x14:dxf>
              <fill>
                <patternFill>
                  <bgColor rgb="FFFFFF00"/>
                </patternFill>
              </fill>
            </x14:dxf>
          </x14:cfRule>
          <x14:cfRule type="containsText" priority="2288" operator="containsText" id="{8C9E1638-D48E-4FA1-AD1C-10358BC14A3B}">
            <xm:f>NOT(ISERROR(SEARCH($Q$12,AL772)))</xm:f>
            <xm:f>$Q$12</xm:f>
            <x14:dxf>
              <fill>
                <patternFill>
                  <bgColor rgb="FFFF0000"/>
                </patternFill>
              </fill>
            </x14:dxf>
          </x14:cfRule>
          <x14:cfRule type="containsText" priority="2284" operator="containsText" id="{53F7C9E9-CAF3-4501-8673-EFB4AD457F6D}">
            <xm:f>NOT(ISERROR(SEARCH($Q$12,AL772)))</xm:f>
            <xm:f>$Q$12</xm:f>
            <x14:dxf>
              <fill>
                <patternFill>
                  <bgColor rgb="FF00B050"/>
                </patternFill>
              </fill>
            </x14:dxf>
          </x14:cfRule>
          <x14:cfRule type="containsText" priority="2290" operator="containsText" id="{D33D8B3C-1467-410F-B4C9-2F2D57C8C18A}">
            <xm:f>NOT(ISERROR(SEARCH($Q$12,AL772)))</xm:f>
            <xm:f>$Q$12</xm:f>
            <x14:dxf>
              <fill>
                <patternFill>
                  <bgColor theme="9"/>
                </patternFill>
              </fill>
            </x14:dxf>
          </x14:cfRule>
          <x14:cfRule type="containsText" priority="2293" operator="containsText" id="{70EC1D19-50A6-402C-8624-DB5FA28812A1}">
            <xm:f>NOT(ISERROR(SEARCH($Q$12,AL772)))</xm:f>
            <xm:f>$Q$12</xm:f>
            <x14:dxf>
              <fill>
                <patternFill>
                  <bgColor rgb="FFFF0000"/>
                </patternFill>
              </fill>
            </x14:dxf>
          </x14:cfRule>
          <x14:cfRule type="containsText" priority="2283" operator="containsText" id="{331F451C-5328-42A8-9F61-C7CE6A116FB9}">
            <xm:f>NOT(ISERROR(SEARCH($Q$12,AL772)))</xm:f>
            <xm:f>$Q$12</xm:f>
            <x14:dxf>
              <fill>
                <patternFill>
                  <bgColor theme="9" tint="0.39994506668294322"/>
                </patternFill>
              </fill>
            </x14:dxf>
          </x14:cfRule>
          <x14:cfRule type="containsText" priority="2286" operator="containsText" id="{A75FEC2E-B1FD-4CBE-92F7-46132DD41E74}">
            <xm:f>NOT(ISERROR(SEARCH($Q$12,AL772)))</xm:f>
            <xm:f>$Q$12</xm:f>
            <x14:dxf>
              <fill>
                <patternFill>
                  <bgColor rgb="FFFFFF00"/>
                </patternFill>
              </fill>
            </x14:dxf>
          </x14:cfRule>
          <x14:cfRule type="containsText" priority="2289" operator="containsText" id="{9B37DA58-67C3-4399-86C7-787D87B22D92}">
            <xm:f>NOT(ISERROR(SEARCH($Q$12,AL772)))</xm:f>
            <xm:f>$Q$12</xm:f>
            <x14:dxf>
              <fill>
                <patternFill>
                  <bgColor theme="9" tint="0.59996337778862885"/>
                </patternFill>
              </fill>
            </x14:dxf>
          </x14:cfRule>
          <xm:sqref>AL772</xm:sqref>
        </x14:conditionalFormatting>
        <x14:conditionalFormatting xmlns:xm="http://schemas.microsoft.com/office/excel/2006/main">
          <x14:cfRule type="containsText" priority="2261" operator="containsText" id="{89FB9268-B5E3-4F04-9E5C-572BF2609A36}">
            <xm:f>NOT(ISERROR(SEARCH($Q$12,AL782)))</xm:f>
            <xm:f>$Q$12</xm:f>
            <x14:dxf>
              <fill>
                <patternFill>
                  <bgColor rgb="FFFFC000"/>
                </patternFill>
              </fill>
            </x14:dxf>
          </x14:cfRule>
          <x14:cfRule type="containsText" priority="2260" operator="containsText" id="{ACB07096-16B5-48CF-AE88-DE52A080A912}">
            <xm:f>NOT(ISERROR(SEARCH($Q$12,AL782)))</xm:f>
            <xm:f>$Q$12</xm:f>
            <x14:dxf>
              <fill>
                <patternFill>
                  <bgColor rgb="FFFFFF00"/>
                </patternFill>
              </fill>
            </x14:dxf>
          </x14:cfRule>
          <x14:cfRule type="containsText" priority="2258" operator="containsText" id="{DF160DBF-06E8-43DC-9DE5-77F9881FF2A4}">
            <xm:f>NOT(ISERROR(SEARCH($Q$12,AL782)))</xm:f>
            <xm:f>$Q$12</xm:f>
            <x14:dxf>
              <fill>
                <patternFill>
                  <bgColor rgb="FF00B050"/>
                </patternFill>
              </fill>
            </x14:dxf>
          </x14:cfRule>
          <x14:cfRule type="containsText" priority="2257" operator="containsText" id="{7B52B296-8AC6-476F-AF3A-63EB4D25242B}">
            <xm:f>NOT(ISERROR(SEARCH($Q$12,AL782)))</xm:f>
            <xm:f>$Q$12</xm:f>
            <x14:dxf>
              <fill>
                <patternFill>
                  <bgColor theme="9" tint="0.39994506668294322"/>
                </patternFill>
              </fill>
            </x14:dxf>
          </x14:cfRule>
          <x14:cfRule type="containsText" priority="2256" operator="containsText" id="{6AA26F79-1D00-4748-A2A0-B603BAC6EC20}">
            <xm:f>NOT(ISERROR(SEARCH($Q$12,AL782)))</xm:f>
            <xm:f>$Q$12</xm:f>
            <x14:dxf>
              <fill>
                <patternFill>
                  <bgColor theme="9" tint="0.79998168889431442"/>
                </patternFill>
              </fill>
            </x14:dxf>
          </x14:cfRule>
          <x14:cfRule type="containsText" priority="2255" operator="containsText" id="{E9A825D1-C569-4047-B1AB-5175B549B07E}">
            <xm:f>NOT(ISERROR(SEARCH($Q$12,AL782)))</xm:f>
            <xm:f>$Q$12</xm:f>
            <x14:dxf>
              <fill>
                <patternFill>
                  <bgColor rgb="FFFFFF00"/>
                </patternFill>
              </fill>
            </x14:dxf>
          </x14:cfRule>
          <x14:cfRule type="containsText" priority="2264" operator="containsText" id="{E1F88316-50A2-42B6-8703-CF7AF3B60967}">
            <xm:f>NOT(ISERROR(SEARCH($Q$12,AL782)))</xm:f>
            <xm:f>$Q$12</xm:f>
            <x14:dxf>
              <fill>
                <patternFill>
                  <bgColor theme="9"/>
                </patternFill>
              </fill>
            </x14:dxf>
          </x14:cfRule>
          <x14:cfRule type="containsText" priority="2267" operator="containsText" id="{A9C4A875-53BB-42B5-809C-55974663B3C6}">
            <xm:f>NOT(ISERROR(SEARCH($Q$12,AL782)))</xm:f>
            <xm:f>$Q$12</xm:f>
            <x14:dxf>
              <fill>
                <patternFill>
                  <bgColor rgb="FFFF0000"/>
                </patternFill>
              </fill>
            </x14:dxf>
          </x14:cfRule>
          <x14:cfRule type="containsText" priority="2266" operator="containsText" id="{7AEC8EB1-6550-4B17-BC5D-E976EAE7D4FB}">
            <xm:f>NOT(ISERROR(SEARCH($Q$12,AL782)))</xm:f>
            <xm:f>$Q$12</xm:f>
            <x14:dxf>
              <fill>
                <patternFill>
                  <bgColor rgb="FFFFC000"/>
                </patternFill>
              </fill>
            </x14:dxf>
          </x14:cfRule>
          <x14:cfRule type="containsText" priority="2263" operator="containsText" id="{03A0A7AE-627C-4FAB-9374-544E52C3978F}">
            <xm:f>NOT(ISERROR(SEARCH($Q$12,AL782)))</xm:f>
            <xm:f>$Q$12</xm:f>
            <x14:dxf>
              <fill>
                <patternFill>
                  <bgColor theme="9" tint="0.59996337778862885"/>
                </patternFill>
              </fill>
            </x14:dxf>
          </x14:cfRule>
          <x14:cfRule type="containsText" priority="2262" operator="containsText" id="{4A3C3D4F-688B-4280-B288-3F92A6D3D123}">
            <xm:f>NOT(ISERROR(SEARCH($Q$12,AL782)))</xm:f>
            <xm:f>$Q$12</xm:f>
            <x14:dxf>
              <fill>
                <patternFill>
                  <bgColor rgb="FFFF0000"/>
                </patternFill>
              </fill>
            </x14:dxf>
          </x14:cfRule>
          <xm:sqref>AL782</xm:sqref>
        </x14:conditionalFormatting>
        <x14:conditionalFormatting xmlns:xm="http://schemas.microsoft.com/office/excel/2006/main">
          <x14:cfRule type="containsText" priority="2241" operator="containsText" id="{5D54A025-D932-4A3F-A4E1-FBC5F9DD9D35}">
            <xm:f>NOT(ISERROR(SEARCH($Q$12,AL792)))</xm:f>
            <xm:f>$Q$12</xm:f>
            <x14:dxf>
              <fill>
                <patternFill>
                  <bgColor rgb="FFFF0000"/>
                </patternFill>
              </fill>
            </x14:dxf>
          </x14:cfRule>
          <x14:cfRule type="containsText" priority="2240" operator="containsText" id="{2E3D790B-3E5B-476E-989F-FA95800E5F20}">
            <xm:f>NOT(ISERROR(SEARCH($Q$12,AL792)))</xm:f>
            <xm:f>$Q$12</xm:f>
            <x14:dxf>
              <fill>
                <patternFill>
                  <bgColor rgb="FFFFC000"/>
                </patternFill>
              </fill>
            </x14:dxf>
          </x14:cfRule>
          <x14:cfRule type="containsText" priority="2238" operator="containsText" id="{C50B93E4-F9CA-4C44-BA7A-1F448B975874}">
            <xm:f>NOT(ISERROR(SEARCH($Q$12,AL792)))</xm:f>
            <xm:f>$Q$12</xm:f>
            <x14:dxf>
              <fill>
                <patternFill>
                  <bgColor theme="9"/>
                </patternFill>
              </fill>
            </x14:dxf>
          </x14:cfRule>
          <x14:cfRule type="containsText" priority="2237" operator="containsText" id="{834BEFA4-CDF1-4D4F-8DE9-0048DE9C98B8}">
            <xm:f>NOT(ISERROR(SEARCH($Q$12,AL792)))</xm:f>
            <xm:f>$Q$12</xm:f>
            <x14:dxf>
              <fill>
                <patternFill>
                  <bgColor theme="9" tint="0.59996337778862885"/>
                </patternFill>
              </fill>
            </x14:dxf>
          </x14:cfRule>
          <x14:cfRule type="containsText" priority="2236" operator="containsText" id="{3B2D09CB-A0C1-4E20-9163-9BEFA202FB05}">
            <xm:f>NOT(ISERROR(SEARCH($Q$12,AL792)))</xm:f>
            <xm:f>$Q$12</xm:f>
            <x14:dxf>
              <fill>
                <patternFill>
                  <bgColor rgb="FFFF0000"/>
                </patternFill>
              </fill>
            </x14:dxf>
          </x14:cfRule>
          <x14:cfRule type="containsText" priority="2235" operator="containsText" id="{F05D87B3-45CF-4054-98B8-28308E0CAA5F}">
            <xm:f>NOT(ISERROR(SEARCH($Q$12,AL792)))</xm:f>
            <xm:f>$Q$12</xm:f>
            <x14:dxf>
              <fill>
                <patternFill>
                  <bgColor rgb="FFFFC000"/>
                </patternFill>
              </fill>
            </x14:dxf>
          </x14:cfRule>
          <x14:cfRule type="containsText" priority="2234" operator="containsText" id="{BC500E3B-F041-488F-8F7E-DF9B95A98589}">
            <xm:f>NOT(ISERROR(SEARCH($Q$12,AL792)))</xm:f>
            <xm:f>$Q$12</xm:f>
            <x14:dxf>
              <fill>
                <patternFill>
                  <bgColor rgb="FFFFFF00"/>
                </patternFill>
              </fill>
            </x14:dxf>
          </x14:cfRule>
          <x14:cfRule type="containsText" priority="2232" operator="containsText" id="{B80B1298-F65D-4BBC-A794-A184DB3440A8}">
            <xm:f>NOT(ISERROR(SEARCH($Q$12,AL792)))</xm:f>
            <xm:f>$Q$12</xm:f>
            <x14:dxf>
              <fill>
                <patternFill>
                  <bgColor rgb="FF00B050"/>
                </patternFill>
              </fill>
            </x14:dxf>
          </x14:cfRule>
          <x14:cfRule type="containsText" priority="2231" operator="containsText" id="{72B212B2-89C0-428F-B26B-D24F9E410D8E}">
            <xm:f>NOT(ISERROR(SEARCH($Q$12,AL792)))</xm:f>
            <xm:f>$Q$12</xm:f>
            <x14:dxf>
              <fill>
                <patternFill>
                  <bgColor theme="9" tint="0.39994506668294322"/>
                </patternFill>
              </fill>
            </x14:dxf>
          </x14:cfRule>
          <x14:cfRule type="containsText" priority="2229" operator="containsText" id="{723AF392-A451-4FDC-BE1C-3DD9E83609C6}">
            <xm:f>NOT(ISERROR(SEARCH($Q$12,AL792)))</xm:f>
            <xm:f>$Q$12</xm:f>
            <x14:dxf>
              <fill>
                <patternFill>
                  <bgColor rgb="FFFFFF00"/>
                </patternFill>
              </fill>
            </x14:dxf>
          </x14:cfRule>
          <x14:cfRule type="containsText" priority="2230" operator="containsText" id="{1557530C-64D9-4040-8656-2B903A500D09}">
            <xm:f>NOT(ISERROR(SEARCH($Q$12,AL792)))</xm:f>
            <xm:f>$Q$12</xm:f>
            <x14:dxf>
              <fill>
                <patternFill>
                  <bgColor theme="9" tint="0.79998168889431442"/>
                </patternFill>
              </fill>
            </x14:dxf>
          </x14:cfRule>
          <xm:sqref>AL792</xm:sqref>
        </x14:conditionalFormatting>
        <x14:conditionalFormatting xmlns:xm="http://schemas.microsoft.com/office/excel/2006/main">
          <x14:cfRule type="containsText" priority="2210" operator="containsText" id="{5559148E-CC97-4B8E-BC6B-5F6E40BC3033}">
            <xm:f>NOT(ISERROR(SEARCH($Q$12,AL802)))</xm:f>
            <xm:f>$Q$12</xm:f>
            <x14:dxf>
              <fill>
                <patternFill>
                  <bgColor rgb="FFFF0000"/>
                </patternFill>
              </fill>
            </x14:dxf>
          </x14:cfRule>
          <x14:cfRule type="containsText" priority="2215" operator="containsText" id="{EDA89384-E063-42F9-811B-AFB9F4B81C07}">
            <xm:f>NOT(ISERROR(SEARCH($Q$12,AL802)))</xm:f>
            <xm:f>$Q$12</xm:f>
            <x14:dxf>
              <fill>
                <patternFill>
                  <bgColor rgb="FFFF0000"/>
                </patternFill>
              </fill>
            </x14:dxf>
          </x14:cfRule>
          <x14:cfRule type="containsText" priority="2214" operator="containsText" id="{CD5E8CC9-B4FB-4007-9265-6A7D8FE8BAF9}">
            <xm:f>NOT(ISERROR(SEARCH($Q$12,AL802)))</xm:f>
            <xm:f>$Q$12</xm:f>
            <x14:dxf>
              <fill>
                <patternFill>
                  <bgColor rgb="FFFFC000"/>
                </patternFill>
              </fill>
            </x14:dxf>
          </x14:cfRule>
          <x14:cfRule type="containsText" priority="2212" operator="containsText" id="{715EEBE0-7DE4-402F-A410-79D7F9800B00}">
            <xm:f>NOT(ISERROR(SEARCH($Q$12,AL802)))</xm:f>
            <xm:f>$Q$12</xm:f>
            <x14:dxf>
              <fill>
                <patternFill>
                  <bgColor theme="9"/>
                </patternFill>
              </fill>
            </x14:dxf>
          </x14:cfRule>
          <x14:cfRule type="containsText" priority="2211" operator="containsText" id="{46A81D44-F2D3-461B-9BF0-2AB8B1B2BBB9}">
            <xm:f>NOT(ISERROR(SEARCH($Q$12,AL802)))</xm:f>
            <xm:f>$Q$12</xm:f>
            <x14:dxf>
              <fill>
                <patternFill>
                  <bgColor theme="9" tint="0.59996337778862885"/>
                </patternFill>
              </fill>
            </x14:dxf>
          </x14:cfRule>
          <x14:cfRule type="containsText" priority="2209" operator="containsText" id="{A5650244-1A7B-45DB-9AD7-9220E43A21CC}">
            <xm:f>NOT(ISERROR(SEARCH($Q$12,AL802)))</xm:f>
            <xm:f>$Q$12</xm:f>
            <x14:dxf>
              <fill>
                <patternFill>
                  <bgColor rgb="FFFFC000"/>
                </patternFill>
              </fill>
            </x14:dxf>
          </x14:cfRule>
          <x14:cfRule type="containsText" priority="2208" operator="containsText" id="{6D70EDEC-5070-4DFD-9E12-9AD011B4C520}">
            <xm:f>NOT(ISERROR(SEARCH($Q$12,AL802)))</xm:f>
            <xm:f>$Q$12</xm:f>
            <x14:dxf>
              <fill>
                <patternFill>
                  <bgColor rgb="FFFFFF00"/>
                </patternFill>
              </fill>
            </x14:dxf>
          </x14:cfRule>
          <x14:cfRule type="containsText" priority="2206" operator="containsText" id="{0073F21E-43F4-4715-80D7-92A2962F9AAD}">
            <xm:f>NOT(ISERROR(SEARCH($Q$12,AL802)))</xm:f>
            <xm:f>$Q$12</xm:f>
            <x14:dxf>
              <fill>
                <patternFill>
                  <bgColor rgb="FF00B050"/>
                </patternFill>
              </fill>
            </x14:dxf>
          </x14:cfRule>
          <x14:cfRule type="containsText" priority="2205" operator="containsText" id="{44D54420-2711-48C0-A212-24EAB2028B77}">
            <xm:f>NOT(ISERROR(SEARCH($Q$12,AL802)))</xm:f>
            <xm:f>$Q$12</xm:f>
            <x14:dxf>
              <fill>
                <patternFill>
                  <bgColor theme="9" tint="0.39994506668294322"/>
                </patternFill>
              </fill>
            </x14:dxf>
          </x14:cfRule>
          <x14:cfRule type="containsText" priority="2204" operator="containsText" id="{B049A6DE-0F0C-4A9D-8150-857C19F4D6D9}">
            <xm:f>NOT(ISERROR(SEARCH($Q$12,AL802)))</xm:f>
            <xm:f>$Q$12</xm:f>
            <x14:dxf>
              <fill>
                <patternFill>
                  <bgColor theme="9" tint="0.79998168889431442"/>
                </patternFill>
              </fill>
            </x14:dxf>
          </x14:cfRule>
          <x14:cfRule type="containsText" priority="2203" operator="containsText" id="{924B95CA-6D9F-4FC8-B546-C7B66AFCAE31}">
            <xm:f>NOT(ISERROR(SEARCH($Q$12,AL802)))</xm:f>
            <xm:f>$Q$12</xm:f>
            <x14:dxf>
              <fill>
                <patternFill>
                  <bgColor rgb="FFFFFF00"/>
                </patternFill>
              </fill>
            </x14:dxf>
          </x14:cfRule>
          <xm:sqref>AL802</xm:sqref>
        </x14:conditionalFormatting>
        <x14:conditionalFormatting xmlns:xm="http://schemas.microsoft.com/office/excel/2006/main">
          <x14:cfRule type="containsText" priority="1685" operator="containsText" id="{52614D85-22E2-41A6-A243-EE2CFE43AAD7}">
            <xm:f>NOT(ISERROR(SEARCH($Q$12,AL812)))</xm:f>
            <xm:f>$Q$12</xm:f>
            <x14:dxf>
              <fill>
                <patternFill>
                  <bgColor theme="9" tint="0.39994506668294322"/>
                </patternFill>
              </fill>
            </x14:dxf>
          </x14:cfRule>
          <x14:cfRule type="containsText" priority="1686" operator="containsText" id="{08DEB9D2-1523-4FC8-80CD-12A38955B112}">
            <xm:f>NOT(ISERROR(SEARCH($Q$12,AL812)))</xm:f>
            <xm:f>$Q$12</xm:f>
            <x14:dxf>
              <fill>
                <patternFill>
                  <bgColor rgb="FF00B050"/>
                </patternFill>
              </fill>
            </x14:dxf>
          </x14:cfRule>
          <x14:cfRule type="containsText" priority="1688" operator="containsText" id="{98E92147-F006-4A7E-BE23-7EF954A92A41}">
            <xm:f>NOT(ISERROR(SEARCH($Q$12,AL812)))</xm:f>
            <xm:f>$Q$12</xm:f>
            <x14:dxf>
              <fill>
                <patternFill>
                  <bgColor rgb="FFFFFF00"/>
                </patternFill>
              </fill>
            </x14:dxf>
          </x14:cfRule>
          <x14:cfRule type="containsText" priority="1689" operator="containsText" id="{AE5E6D7F-277D-4197-8AAA-221813A6B27C}">
            <xm:f>NOT(ISERROR(SEARCH($Q$12,AL812)))</xm:f>
            <xm:f>$Q$12</xm:f>
            <x14:dxf>
              <fill>
                <patternFill>
                  <bgColor rgb="FFFFC000"/>
                </patternFill>
              </fill>
            </x14:dxf>
          </x14:cfRule>
          <x14:cfRule type="containsText" priority="1690" operator="containsText" id="{5F55148B-82A6-4687-B7E0-754BCEF31E04}">
            <xm:f>NOT(ISERROR(SEARCH($Q$12,AL812)))</xm:f>
            <xm:f>$Q$12</xm:f>
            <x14:dxf>
              <fill>
                <patternFill>
                  <bgColor rgb="FFFF0000"/>
                </patternFill>
              </fill>
            </x14:dxf>
          </x14:cfRule>
          <x14:cfRule type="containsText" priority="1683" operator="containsText" id="{C96B3D9D-960F-4C71-AC8A-665B2FB3A704}">
            <xm:f>NOT(ISERROR(SEARCH($Q$12,AL812)))</xm:f>
            <xm:f>$Q$12</xm:f>
            <x14:dxf>
              <fill>
                <patternFill>
                  <bgColor rgb="FFFFFF00"/>
                </patternFill>
              </fill>
            </x14:dxf>
          </x14:cfRule>
          <x14:cfRule type="containsText" priority="1691" operator="containsText" id="{A95AAED9-45B8-4EF4-9033-96BBAF18CEF3}">
            <xm:f>NOT(ISERROR(SEARCH($Q$12,AL812)))</xm:f>
            <xm:f>$Q$12</xm:f>
            <x14:dxf>
              <fill>
                <patternFill>
                  <bgColor theme="9" tint="0.59996337778862885"/>
                </patternFill>
              </fill>
            </x14:dxf>
          </x14:cfRule>
          <x14:cfRule type="containsText" priority="1692" operator="containsText" id="{55E0B1B1-A84B-4FEE-BDCB-74C3117B97F9}">
            <xm:f>NOT(ISERROR(SEARCH($Q$12,AL812)))</xm:f>
            <xm:f>$Q$12</xm:f>
            <x14:dxf>
              <fill>
                <patternFill>
                  <bgColor theme="9"/>
                </patternFill>
              </fill>
            </x14:dxf>
          </x14:cfRule>
          <x14:cfRule type="containsText" priority="1694" operator="containsText" id="{BAC51506-CA50-43C1-AEB6-9DCE3BA08CD3}">
            <xm:f>NOT(ISERROR(SEARCH($Q$12,AL812)))</xm:f>
            <xm:f>$Q$12</xm:f>
            <x14:dxf>
              <fill>
                <patternFill>
                  <bgColor rgb="FFFFC000"/>
                </patternFill>
              </fill>
            </x14:dxf>
          </x14:cfRule>
          <x14:cfRule type="containsText" priority="1695" operator="containsText" id="{E1957D9E-95CA-4D4E-B369-71692C8C8B23}">
            <xm:f>NOT(ISERROR(SEARCH($Q$12,AL812)))</xm:f>
            <xm:f>$Q$12</xm:f>
            <x14:dxf>
              <fill>
                <patternFill>
                  <bgColor rgb="FFFF0000"/>
                </patternFill>
              </fill>
            </x14:dxf>
          </x14:cfRule>
          <x14:cfRule type="containsText" priority="1684" operator="containsText" id="{8E9FBE53-CF31-4FC3-A033-FBA1B1E340D9}">
            <xm:f>NOT(ISERROR(SEARCH($Q$12,AL812)))</xm:f>
            <xm:f>$Q$12</xm:f>
            <x14:dxf>
              <fill>
                <patternFill>
                  <bgColor theme="9" tint="0.79998168889431442"/>
                </patternFill>
              </fill>
            </x14:dxf>
          </x14:cfRule>
          <xm:sqref>AL812</xm:sqref>
        </x14:conditionalFormatting>
        <x14:conditionalFormatting xmlns:xm="http://schemas.microsoft.com/office/excel/2006/main">
          <x14:cfRule type="containsText" priority="1668" operator="containsText" id="{89397FD1-C2D8-452B-917C-8ED4542B5669}">
            <xm:f>NOT(ISERROR(SEARCH($Q$12,AL822)))</xm:f>
            <xm:f>$Q$12</xm:f>
            <x14:dxf>
              <fill>
                <patternFill>
                  <bgColor rgb="FFFFC000"/>
                </patternFill>
              </fill>
            </x14:dxf>
          </x14:cfRule>
          <x14:cfRule type="containsText" priority="1666" operator="containsText" id="{29A22067-3CC2-46B5-A3DA-5DD5370F7956}">
            <xm:f>NOT(ISERROR(SEARCH($Q$12,AL822)))</xm:f>
            <xm:f>$Q$12</xm:f>
            <x14:dxf>
              <fill>
                <patternFill>
                  <bgColor theme="9"/>
                </patternFill>
              </fill>
            </x14:dxf>
          </x14:cfRule>
          <x14:cfRule type="containsText" priority="1665" operator="containsText" id="{D338A140-27CF-4440-AF5D-B10B674F8D8D}">
            <xm:f>NOT(ISERROR(SEARCH($Q$12,AL822)))</xm:f>
            <xm:f>$Q$12</xm:f>
            <x14:dxf>
              <fill>
                <patternFill>
                  <bgColor theme="9" tint="0.59996337778862885"/>
                </patternFill>
              </fill>
            </x14:dxf>
          </x14:cfRule>
          <x14:cfRule type="containsText" priority="1669" operator="containsText" id="{5CAACCC3-56DA-4FF3-8FA1-ECB0B79FE749}">
            <xm:f>NOT(ISERROR(SEARCH($Q$12,AL822)))</xm:f>
            <xm:f>$Q$12</xm:f>
            <x14:dxf>
              <fill>
                <patternFill>
                  <bgColor rgb="FFFF0000"/>
                </patternFill>
              </fill>
            </x14:dxf>
          </x14:cfRule>
          <x14:cfRule type="containsText" priority="1664" operator="containsText" id="{28077A76-8B7E-4707-84AE-75216150E42D}">
            <xm:f>NOT(ISERROR(SEARCH($Q$12,AL822)))</xm:f>
            <xm:f>$Q$12</xm:f>
            <x14:dxf>
              <fill>
                <patternFill>
                  <bgColor rgb="FFFF0000"/>
                </patternFill>
              </fill>
            </x14:dxf>
          </x14:cfRule>
          <x14:cfRule type="containsText" priority="1663" operator="containsText" id="{6ED8B662-FC36-4F44-BF99-E54F4CE8EB38}">
            <xm:f>NOT(ISERROR(SEARCH($Q$12,AL822)))</xm:f>
            <xm:f>$Q$12</xm:f>
            <x14:dxf>
              <fill>
                <patternFill>
                  <bgColor rgb="FFFFC000"/>
                </patternFill>
              </fill>
            </x14:dxf>
          </x14:cfRule>
          <x14:cfRule type="containsText" priority="1662" operator="containsText" id="{7504A8D2-0EBC-47D9-80F7-53DD934D10AE}">
            <xm:f>NOT(ISERROR(SEARCH($Q$12,AL822)))</xm:f>
            <xm:f>$Q$12</xm:f>
            <x14:dxf>
              <fill>
                <patternFill>
                  <bgColor rgb="FFFFFF00"/>
                </patternFill>
              </fill>
            </x14:dxf>
          </x14:cfRule>
          <x14:cfRule type="containsText" priority="1660" operator="containsText" id="{B04E334D-AFD2-4811-BFD4-01A786FC88E3}">
            <xm:f>NOT(ISERROR(SEARCH($Q$12,AL822)))</xm:f>
            <xm:f>$Q$12</xm:f>
            <x14:dxf>
              <fill>
                <patternFill>
                  <bgColor rgb="FF00B050"/>
                </patternFill>
              </fill>
            </x14:dxf>
          </x14:cfRule>
          <x14:cfRule type="containsText" priority="1659" operator="containsText" id="{A63E2E18-6E1C-4A66-80E9-CD6F71F47C66}">
            <xm:f>NOT(ISERROR(SEARCH($Q$12,AL822)))</xm:f>
            <xm:f>$Q$12</xm:f>
            <x14:dxf>
              <fill>
                <patternFill>
                  <bgColor theme="9" tint="0.39994506668294322"/>
                </patternFill>
              </fill>
            </x14:dxf>
          </x14:cfRule>
          <x14:cfRule type="containsText" priority="1658" operator="containsText" id="{91D5FF8A-0B07-4887-8D86-D3503E550CD5}">
            <xm:f>NOT(ISERROR(SEARCH($Q$12,AL822)))</xm:f>
            <xm:f>$Q$12</xm:f>
            <x14:dxf>
              <fill>
                <patternFill>
                  <bgColor theme="9" tint="0.79998168889431442"/>
                </patternFill>
              </fill>
            </x14:dxf>
          </x14:cfRule>
          <x14:cfRule type="containsText" priority="1657" operator="containsText" id="{297DD934-E677-45E0-81D2-5A4E08F9A75E}">
            <xm:f>NOT(ISERROR(SEARCH($Q$12,AL822)))</xm:f>
            <xm:f>$Q$12</xm:f>
            <x14:dxf>
              <fill>
                <patternFill>
                  <bgColor rgb="FFFFFF00"/>
                </patternFill>
              </fill>
            </x14:dxf>
          </x14:cfRule>
          <xm:sqref>AL822</xm:sqref>
        </x14:conditionalFormatting>
        <x14:conditionalFormatting xmlns:xm="http://schemas.microsoft.com/office/excel/2006/main">
          <x14:cfRule type="containsText" priority="1631" operator="containsText" id="{1ACE9CA9-EC76-4D75-9891-41C0E2DBB2B4}">
            <xm:f>NOT(ISERROR(SEARCH($Q$12,AL832)))</xm:f>
            <xm:f>$Q$12</xm:f>
            <x14:dxf>
              <fill>
                <patternFill>
                  <bgColor rgb="FFFFFF00"/>
                </patternFill>
              </fill>
            </x14:dxf>
          </x14:cfRule>
          <x14:cfRule type="containsText" priority="1643" operator="containsText" id="{A3B3B3A6-0B15-4474-B387-E23418A60CE7}">
            <xm:f>NOT(ISERROR(SEARCH($Q$12,AL832)))</xm:f>
            <xm:f>$Q$12</xm:f>
            <x14:dxf>
              <fill>
                <patternFill>
                  <bgColor rgb="FFFF0000"/>
                </patternFill>
              </fill>
            </x14:dxf>
          </x14:cfRule>
          <x14:cfRule type="containsText" priority="1642" operator="containsText" id="{CE6A6B5C-A56E-4002-AB1D-AF4FC6517116}">
            <xm:f>NOT(ISERROR(SEARCH($Q$12,AL832)))</xm:f>
            <xm:f>$Q$12</xm:f>
            <x14:dxf>
              <fill>
                <patternFill>
                  <bgColor rgb="FFFFC000"/>
                </patternFill>
              </fill>
            </x14:dxf>
          </x14:cfRule>
          <x14:cfRule type="containsText" priority="1640" operator="containsText" id="{06317FDA-8ACB-4ED5-918D-EDC6C53478CA}">
            <xm:f>NOT(ISERROR(SEARCH($Q$12,AL832)))</xm:f>
            <xm:f>$Q$12</xm:f>
            <x14:dxf>
              <fill>
                <patternFill>
                  <bgColor theme="9"/>
                </patternFill>
              </fill>
            </x14:dxf>
          </x14:cfRule>
          <x14:cfRule type="containsText" priority="1639" operator="containsText" id="{418A33AF-EB9B-48B1-9081-477CFD99FCCD}">
            <xm:f>NOT(ISERROR(SEARCH($Q$12,AL832)))</xm:f>
            <xm:f>$Q$12</xm:f>
            <x14:dxf>
              <fill>
                <patternFill>
                  <bgColor theme="9" tint="0.59996337778862885"/>
                </patternFill>
              </fill>
            </x14:dxf>
          </x14:cfRule>
          <x14:cfRule type="containsText" priority="1638" operator="containsText" id="{249D28A5-D86E-4CC6-8F15-317270E3CCC3}">
            <xm:f>NOT(ISERROR(SEARCH($Q$12,AL832)))</xm:f>
            <xm:f>$Q$12</xm:f>
            <x14:dxf>
              <fill>
                <patternFill>
                  <bgColor rgb="FFFF0000"/>
                </patternFill>
              </fill>
            </x14:dxf>
          </x14:cfRule>
          <x14:cfRule type="containsText" priority="1637" operator="containsText" id="{795CD8AB-CB9E-4203-BC86-323AC50EA17C}">
            <xm:f>NOT(ISERROR(SEARCH($Q$12,AL832)))</xm:f>
            <xm:f>$Q$12</xm:f>
            <x14:dxf>
              <fill>
                <patternFill>
                  <bgColor rgb="FFFFC000"/>
                </patternFill>
              </fill>
            </x14:dxf>
          </x14:cfRule>
          <x14:cfRule type="containsText" priority="1636" operator="containsText" id="{A3442C20-B2F7-4AF3-BA4F-9F3E18A834E7}">
            <xm:f>NOT(ISERROR(SEARCH($Q$12,AL832)))</xm:f>
            <xm:f>$Q$12</xm:f>
            <x14:dxf>
              <fill>
                <patternFill>
                  <bgColor rgb="FFFFFF00"/>
                </patternFill>
              </fill>
            </x14:dxf>
          </x14:cfRule>
          <x14:cfRule type="containsText" priority="1634" operator="containsText" id="{5B56F3F0-9827-4568-9A20-C6736E90EF5D}">
            <xm:f>NOT(ISERROR(SEARCH($Q$12,AL832)))</xm:f>
            <xm:f>$Q$12</xm:f>
            <x14:dxf>
              <fill>
                <patternFill>
                  <bgColor rgb="FF00B050"/>
                </patternFill>
              </fill>
            </x14:dxf>
          </x14:cfRule>
          <x14:cfRule type="containsText" priority="1633" operator="containsText" id="{10A14D3C-3831-4B01-820B-C7091BFAF898}">
            <xm:f>NOT(ISERROR(SEARCH($Q$12,AL832)))</xm:f>
            <xm:f>$Q$12</xm:f>
            <x14:dxf>
              <fill>
                <patternFill>
                  <bgColor theme="9" tint="0.39994506668294322"/>
                </patternFill>
              </fill>
            </x14:dxf>
          </x14:cfRule>
          <x14:cfRule type="containsText" priority="1632" operator="containsText" id="{AC9DAA46-C10D-47AC-9E87-7E70F7DAED95}">
            <xm:f>NOT(ISERROR(SEARCH($Q$12,AL832)))</xm:f>
            <xm:f>$Q$12</xm:f>
            <x14:dxf>
              <fill>
                <patternFill>
                  <bgColor theme="9" tint="0.79998168889431442"/>
                </patternFill>
              </fill>
            </x14:dxf>
          </x14:cfRule>
          <xm:sqref>AL832</xm:sqref>
        </x14:conditionalFormatting>
        <x14:conditionalFormatting xmlns:xm="http://schemas.microsoft.com/office/excel/2006/main">
          <x14:cfRule type="containsText" priority="1606" operator="containsText" id="{DB554BB5-B340-4A08-AEA1-F3B097FAA8EA}">
            <xm:f>NOT(ISERROR(SEARCH($Q$12,AL842)))</xm:f>
            <xm:f>$Q$12</xm:f>
            <x14:dxf>
              <fill>
                <patternFill>
                  <bgColor theme="9" tint="0.79998168889431442"/>
                </patternFill>
              </fill>
            </x14:dxf>
          </x14:cfRule>
          <x14:cfRule type="containsText" priority="1605" operator="containsText" id="{6F4824BE-A8E2-4A6E-BEE3-2DFA8DBB6564}">
            <xm:f>NOT(ISERROR(SEARCH($Q$12,AL842)))</xm:f>
            <xm:f>$Q$12</xm:f>
            <x14:dxf>
              <fill>
                <patternFill>
                  <bgColor rgb="FFFFFF00"/>
                </patternFill>
              </fill>
            </x14:dxf>
          </x14:cfRule>
          <x14:cfRule type="containsText" priority="1608" operator="containsText" id="{F4D84483-0605-4411-89D4-9535B77CADBF}">
            <xm:f>NOT(ISERROR(SEARCH($Q$12,AL842)))</xm:f>
            <xm:f>$Q$12</xm:f>
            <x14:dxf>
              <fill>
                <patternFill>
                  <bgColor rgb="FF00B050"/>
                </patternFill>
              </fill>
            </x14:dxf>
          </x14:cfRule>
          <x14:cfRule type="containsText" priority="1617" operator="containsText" id="{031955C3-4D81-43BD-A4BC-6E43DE0AADF5}">
            <xm:f>NOT(ISERROR(SEARCH($Q$12,AL842)))</xm:f>
            <xm:f>$Q$12</xm:f>
            <x14:dxf>
              <fill>
                <patternFill>
                  <bgColor rgb="FFFF0000"/>
                </patternFill>
              </fill>
            </x14:dxf>
          </x14:cfRule>
          <x14:cfRule type="containsText" priority="1616" operator="containsText" id="{E4D88026-4314-4B26-A060-70D75C86A678}">
            <xm:f>NOT(ISERROR(SEARCH($Q$12,AL842)))</xm:f>
            <xm:f>$Q$12</xm:f>
            <x14:dxf>
              <fill>
                <patternFill>
                  <bgColor rgb="FFFFC000"/>
                </patternFill>
              </fill>
            </x14:dxf>
          </x14:cfRule>
          <x14:cfRule type="containsText" priority="1614" operator="containsText" id="{474B29FB-9F8E-40A4-BFC2-9642C66CA704}">
            <xm:f>NOT(ISERROR(SEARCH($Q$12,AL842)))</xm:f>
            <xm:f>$Q$12</xm:f>
            <x14:dxf>
              <fill>
                <patternFill>
                  <bgColor theme="9"/>
                </patternFill>
              </fill>
            </x14:dxf>
          </x14:cfRule>
          <x14:cfRule type="containsText" priority="1613" operator="containsText" id="{73BD33C0-AC9D-4722-ABDA-880EF262EC3D}">
            <xm:f>NOT(ISERROR(SEARCH($Q$12,AL842)))</xm:f>
            <xm:f>$Q$12</xm:f>
            <x14:dxf>
              <fill>
                <patternFill>
                  <bgColor theme="9" tint="0.59996337778862885"/>
                </patternFill>
              </fill>
            </x14:dxf>
          </x14:cfRule>
          <x14:cfRule type="containsText" priority="1612" operator="containsText" id="{A1DD6861-0CE8-4DF0-BFD5-29A8CA7B2319}">
            <xm:f>NOT(ISERROR(SEARCH($Q$12,AL842)))</xm:f>
            <xm:f>$Q$12</xm:f>
            <x14:dxf>
              <fill>
                <patternFill>
                  <bgColor rgb="FFFF0000"/>
                </patternFill>
              </fill>
            </x14:dxf>
          </x14:cfRule>
          <x14:cfRule type="containsText" priority="1611" operator="containsText" id="{5F3BC4B4-4780-4182-A4BD-3F7AD3AC1A62}">
            <xm:f>NOT(ISERROR(SEARCH($Q$12,AL842)))</xm:f>
            <xm:f>$Q$12</xm:f>
            <x14:dxf>
              <fill>
                <patternFill>
                  <bgColor rgb="FFFFC000"/>
                </patternFill>
              </fill>
            </x14:dxf>
          </x14:cfRule>
          <x14:cfRule type="containsText" priority="1610" operator="containsText" id="{B96E8E80-3F2A-41A6-86DE-A4919B31A84B}">
            <xm:f>NOT(ISERROR(SEARCH($Q$12,AL842)))</xm:f>
            <xm:f>$Q$12</xm:f>
            <x14:dxf>
              <fill>
                <patternFill>
                  <bgColor rgb="FFFFFF00"/>
                </patternFill>
              </fill>
            </x14:dxf>
          </x14:cfRule>
          <x14:cfRule type="containsText" priority="1607" operator="containsText" id="{FF2B7C25-46C0-4A7A-8266-3383D4242B9E}">
            <xm:f>NOT(ISERROR(SEARCH($Q$12,AL842)))</xm:f>
            <xm:f>$Q$12</xm:f>
            <x14:dxf>
              <fill>
                <patternFill>
                  <bgColor theme="9" tint="0.39994506668294322"/>
                </patternFill>
              </fill>
            </x14:dxf>
          </x14:cfRule>
          <xm:sqref>AL842</xm:sqref>
        </x14:conditionalFormatting>
        <x14:conditionalFormatting xmlns:xm="http://schemas.microsoft.com/office/excel/2006/main">
          <x14:cfRule type="containsText" priority="1581" operator="containsText" id="{45CD6D51-D568-4C6E-A7A8-18647D4AA6B3}">
            <xm:f>NOT(ISERROR(SEARCH($Q$12,AL852)))</xm:f>
            <xm:f>$Q$12</xm:f>
            <x14:dxf>
              <fill>
                <patternFill>
                  <bgColor theme="9" tint="0.39994506668294322"/>
                </patternFill>
              </fill>
            </x14:dxf>
          </x14:cfRule>
          <x14:cfRule type="containsText" priority="1586" operator="containsText" id="{45EDC1E0-3DC9-4D59-9E06-00A1BB19C47E}">
            <xm:f>NOT(ISERROR(SEARCH($Q$12,AL852)))</xm:f>
            <xm:f>$Q$12</xm:f>
            <x14:dxf>
              <fill>
                <patternFill>
                  <bgColor rgb="FFFF0000"/>
                </patternFill>
              </fill>
            </x14:dxf>
          </x14:cfRule>
          <x14:cfRule type="containsText" priority="1585" operator="containsText" id="{78BEBAEC-17CA-49FA-A734-AA8DF1F08D92}">
            <xm:f>NOT(ISERROR(SEARCH($Q$12,AL852)))</xm:f>
            <xm:f>$Q$12</xm:f>
            <x14:dxf>
              <fill>
                <patternFill>
                  <bgColor rgb="FFFFC000"/>
                </patternFill>
              </fill>
            </x14:dxf>
          </x14:cfRule>
          <x14:cfRule type="containsText" priority="1584" operator="containsText" id="{54B40726-3C5C-460F-8F5E-7F74ECB0F619}">
            <xm:f>NOT(ISERROR(SEARCH($Q$12,AL852)))</xm:f>
            <xm:f>$Q$12</xm:f>
            <x14:dxf>
              <fill>
                <patternFill>
                  <bgColor rgb="FFFFFF00"/>
                </patternFill>
              </fill>
            </x14:dxf>
          </x14:cfRule>
          <x14:cfRule type="containsText" priority="1582" operator="containsText" id="{18AC348B-993E-4E68-8079-EADE7929378F}">
            <xm:f>NOT(ISERROR(SEARCH($Q$12,AL852)))</xm:f>
            <xm:f>$Q$12</xm:f>
            <x14:dxf>
              <fill>
                <patternFill>
                  <bgColor rgb="FF00B050"/>
                </patternFill>
              </fill>
            </x14:dxf>
          </x14:cfRule>
          <x14:cfRule type="containsText" priority="1580" operator="containsText" id="{2383E430-BB19-4BF6-804E-DA2497E08D4A}">
            <xm:f>NOT(ISERROR(SEARCH($Q$12,AL852)))</xm:f>
            <xm:f>$Q$12</xm:f>
            <x14:dxf>
              <fill>
                <patternFill>
                  <bgColor theme="9" tint="0.79998168889431442"/>
                </patternFill>
              </fill>
            </x14:dxf>
          </x14:cfRule>
          <x14:cfRule type="containsText" priority="1579" operator="containsText" id="{87EFFABE-0B55-4B17-83D8-25DF0322B4C5}">
            <xm:f>NOT(ISERROR(SEARCH($Q$12,AL852)))</xm:f>
            <xm:f>$Q$12</xm:f>
            <x14:dxf>
              <fill>
                <patternFill>
                  <bgColor rgb="FFFFFF00"/>
                </patternFill>
              </fill>
            </x14:dxf>
          </x14:cfRule>
          <x14:cfRule type="containsText" priority="1591" operator="containsText" id="{B3B8D4D3-AA68-4AE5-B7D1-4D5BC13EF812}">
            <xm:f>NOT(ISERROR(SEARCH($Q$12,AL852)))</xm:f>
            <xm:f>$Q$12</xm:f>
            <x14:dxf>
              <fill>
                <patternFill>
                  <bgColor rgb="FFFF0000"/>
                </patternFill>
              </fill>
            </x14:dxf>
          </x14:cfRule>
          <x14:cfRule type="containsText" priority="1590" operator="containsText" id="{A72412CC-98F6-497D-9C17-DAA92EA1458A}">
            <xm:f>NOT(ISERROR(SEARCH($Q$12,AL852)))</xm:f>
            <xm:f>$Q$12</xm:f>
            <x14:dxf>
              <fill>
                <patternFill>
                  <bgColor rgb="FFFFC000"/>
                </patternFill>
              </fill>
            </x14:dxf>
          </x14:cfRule>
          <x14:cfRule type="containsText" priority="1588" operator="containsText" id="{46856427-9239-40EF-AD5F-CF4E51FCEFB9}">
            <xm:f>NOT(ISERROR(SEARCH($Q$12,AL852)))</xm:f>
            <xm:f>$Q$12</xm:f>
            <x14:dxf>
              <fill>
                <patternFill>
                  <bgColor theme="9"/>
                </patternFill>
              </fill>
            </x14:dxf>
          </x14:cfRule>
          <x14:cfRule type="containsText" priority="1587" operator="containsText" id="{B0020AAA-49C7-489A-8564-C3175DEB3FE7}">
            <xm:f>NOT(ISERROR(SEARCH($Q$12,AL852)))</xm:f>
            <xm:f>$Q$12</xm:f>
            <x14:dxf>
              <fill>
                <patternFill>
                  <bgColor theme="9" tint="0.59996337778862885"/>
                </patternFill>
              </fill>
            </x14:dxf>
          </x14:cfRule>
          <xm:sqref>AL852</xm:sqref>
        </x14:conditionalFormatting>
        <x14:conditionalFormatting xmlns:xm="http://schemas.microsoft.com/office/excel/2006/main">
          <x14:cfRule type="containsText" priority="1556" operator="containsText" id="{29996246-E232-4A80-A429-EAAC8FC322B4}">
            <xm:f>NOT(ISERROR(SEARCH($Q$12,AL862)))</xm:f>
            <xm:f>$Q$12</xm:f>
            <x14:dxf>
              <fill>
                <patternFill>
                  <bgColor rgb="FF00B050"/>
                </patternFill>
              </fill>
            </x14:dxf>
          </x14:cfRule>
          <x14:cfRule type="containsText" priority="1555" operator="containsText" id="{AE0546E3-0045-418D-B407-0F381B1EF7E5}">
            <xm:f>NOT(ISERROR(SEARCH($Q$12,AL862)))</xm:f>
            <xm:f>$Q$12</xm:f>
            <x14:dxf>
              <fill>
                <patternFill>
                  <bgColor theme="9" tint="0.39994506668294322"/>
                </patternFill>
              </fill>
            </x14:dxf>
          </x14:cfRule>
          <x14:cfRule type="containsText" priority="1554" operator="containsText" id="{9B1D8293-895A-409A-A528-2665210553F5}">
            <xm:f>NOT(ISERROR(SEARCH($Q$12,AL862)))</xm:f>
            <xm:f>$Q$12</xm:f>
            <x14:dxf>
              <fill>
                <patternFill>
                  <bgColor theme="9" tint="0.79998168889431442"/>
                </patternFill>
              </fill>
            </x14:dxf>
          </x14:cfRule>
          <x14:cfRule type="containsText" priority="1565" operator="containsText" id="{ACBC99F6-E0AB-4722-8018-F0D7736D85BB}">
            <xm:f>NOT(ISERROR(SEARCH($Q$12,AL862)))</xm:f>
            <xm:f>$Q$12</xm:f>
            <x14:dxf>
              <fill>
                <patternFill>
                  <bgColor rgb="FFFF0000"/>
                </patternFill>
              </fill>
            </x14:dxf>
          </x14:cfRule>
          <x14:cfRule type="containsText" priority="1564" operator="containsText" id="{8FB44514-5F5B-4A71-AE43-C6FFFCA473AD}">
            <xm:f>NOT(ISERROR(SEARCH($Q$12,AL862)))</xm:f>
            <xm:f>$Q$12</xm:f>
            <x14:dxf>
              <fill>
                <patternFill>
                  <bgColor rgb="FFFFC000"/>
                </patternFill>
              </fill>
            </x14:dxf>
          </x14:cfRule>
          <x14:cfRule type="containsText" priority="1562" operator="containsText" id="{5E3BC3F4-B99B-4291-ABDA-A163978BC53B}">
            <xm:f>NOT(ISERROR(SEARCH($Q$12,AL862)))</xm:f>
            <xm:f>$Q$12</xm:f>
            <x14:dxf>
              <fill>
                <patternFill>
                  <bgColor theme="9"/>
                </patternFill>
              </fill>
            </x14:dxf>
          </x14:cfRule>
          <x14:cfRule type="containsText" priority="1561" operator="containsText" id="{381205B5-B06E-457B-A2F0-4E79E7A9BEEB}">
            <xm:f>NOT(ISERROR(SEARCH($Q$12,AL862)))</xm:f>
            <xm:f>$Q$12</xm:f>
            <x14:dxf>
              <fill>
                <patternFill>
                  <bgColor theme="9" tint="0.59996337778862885"/>
                </patternFill>
              </fill>
            </x14:dxf>
          </x14:cfRule>
          <x14:cfRule type="containsText" priority="1553" operator="containsText" id="{B18C172C-7C07-4E60-A96A-859EECAA860E}">
            <xm:f>NOT(ISERROR(SEARCH($Q$12,AL862)))</xm:f>
            <xm:f>$Q$12</xm:f>
            <x14:dxf>
              <fill>
                <patternFill>
                  <bgColor rgb="FFFFFF00"/>
                </patternFill>
              </fill>
            </x14:dxf>
          </x14:cfRule>
          <x14:cfRule type="containsText" priority="1560" operator="containsText" id="{60332247-DCCA-4C11-B7E5-E8A93786E954}">
            <xm:f>NOT(ISERROR(SEARCH($Q$12,AL862)))</xm:f>
            <xm:f>$Q$12</xm:f>
            <x14:dxf>
              <fill>
                <patternFill>
                  <bgColor rgb="FFFF0000"/>
                </patternFill>
              </fill>
            </x14:dxf>
          </x14:cfRule>
          <x14:cfRule type="containsText" priority="1559" operator="containsText" id="{7A374490-7D3A-45EE-85FE-8185FBF658C8}">
            <xm:f>NOT(ISERROR(SEARCH($Q$12,AL862)))</xm:f>
            <xm:f>$Q$12</xm:f>
            <x14:dxf>
              <fill>
                <patternFill>
                  <bgColor rgb="FFFFC000"/>
                </patternFill>
              </fill>
            </x14:dxf>
          </x14:cfRule>
          <x14:cfRule type="containsText" priority="1558" operator="containsText" id="{19CB0478-C0CD-4602-AE41-4423E896C714}">
            <xm:f>NOT(ISERROR(SEARCH($Q$12,AL862)))</xm:f>
            <xm:f>$Q$12</xm:f>
            <x14:dxf>
              <fill>
                <patternFill>
                  <bgColor rgb="FFFFFF00"/>
                </patternFill>
              </fill>
            </x14:dxf>
          </x14:cfRule>
          <xm:sqref>AL862</xm:sqref>
        </x14:conditionalFormatting>
        <x14:conditionalFormatting xmlns:xm="http://schemas.microsoft.com/office/excel/2006/main">
          <x14:cfRule type="containsText" priority="1529" operator="containsText" id="{56BAC872-C1A4-469B-AE5A-4F7879EE63CB}">
            <xm:f>NOT(ISERROR(SEARCH($Q$12,AL872)))</xm:f>
            <xm:f>$Q$12</xm:f>
            <x14:dxf>
              <fill>
                <patternFill>
                  <bgColor theme="9" tint="0.39994506668294322"/>
                </patternFill>
              </fill>
            </x14:dxf>
          </x14:cfRule>
          <x14:cfRule type="containsText" priority="1527" operator="containsText" id="{713B4FC8-BDB1-4715-89AB-0123B6250904}">
            <xm:f>NOT(ISERROR(SEARCH($Q$12,AL872)))</xm:f>
            <xm:f>$Q$12</xm:f>
            <x14:dxf>
              <fill>
                <patternFill>
                  <bgColor rgb="FFFFFF00"/>
                </patternFill>
              </fill>
            </x14:dxf>
          </x14:cfRule>
          <x14:cfRule type="containsText" priority="1528" operator="containsText" id="{77AD638B-FDCE-48DB-AE6B-8B50399FE887}">
            <xm:f>NOT(ISERROR(SEARCH($Q$12,AL872)))</xm:f>
            <xm:f>$Q$12</xm:f>
            <x14:dxf>
              <fill>
                <patternFill>
                  <bgColor theme="9" tint="0.79998168889431442"/>
                </patternFill>
              </fill>
            </x14:dxf>
          </x14:cfRule>
          <x14:cfRule type="containsText" priority="1530" operator="containsText" id="{65A0D13B-F22C-411F-82C7-E09541EB1ADA}">
            <xm:f>NOT(ISERROR(SEARCH($Q$12,AL872)))</xm:f>
            <xm:f>$Q$12</xm:f>
            <x14:dxf>
              <fill>
                <patternFill>
                  <bgColor rgb="FF00B050"/>
                </patternFill>
              </fill>
            </x14:dxf>
          </x14:cfRule>
          <x14:cfRule type="containsText" priority="1532" operator="containsText" id="{81FBC02C-6B91-491E-9FDB-C82EC14BF4E5}">
            <xm:f>NOT(ISERROR(SEARCH($Q$12,AL872)))</xm:f>
            <xm:f>$Q$12</xm:f>
            <x14:dxf>
              <fill>
                <patternFill>
                  <bgColor rgb="FFFFFF00"/>
                </patternFill>
              </fill>
            </x14:dxf>
          </x14:cfRule>
          <x14:cfRule type="containsText" priority="1533" operator="containsText" id="{6222909B-E23F-4F71-B807-44B8A74F8CE8}">
            <xm:f>NOT(ISERROR(SEARCH($Q$12,AL872)))</xm:f>
            <xm:f>$Q$12</xm:f>
            <x14:dxf>
              <fill>
                <patternFill>
                  <bgColor rgb="FFFFC000"/>
                </patternFill>
              </fill>
            </x14:dxf>
          </x14:cfRule>
          <x14:cfRule type="containsText" priority="1534" operator="containsText" id="{DAF06290-53B3-4DB7-AF1A-08F8D5DFF6ED}">
            <xm:f>NOT(ISERROR(SEARCH($Q$12,AL872)))</xm:f>
            <xm:f>$Q$12</xm:f>
            <x14:dxf>
              <fill>
                <patternFill>
                  <bgColor rgb="FFFF0000"/>
                </patternFill>
              </fill>
            </x14:dxf>
          </x14:cfRule>
          <x14:cfRule type="containsText" priority="1535" operator="containsText" id="{8181FF90-3089-4D0A-818E-1D542B9FE3AB}">
            <xm:f>NOT(ISERROR(SEARCH($Q$12,AL872)))</xm:f>
            <xm:f>$Q$12</xm:f>
            <x14:dxf>
              <fill>
                <patternFill>
                  <bgColor theme="9" tint="0.59996337778862885"/>
                </patternFill>
              </fill>
            </x14:dxf>
          </x14:cfRule>
          <x14:cfRule type="containsText" priority="1536" operator="containsText" id="{4B80B706-2AFD-4AAB-A41E-F35708ED15D7}">
            <xm:f>NOT(ISERROR(SEARCH($Q$12,AL872)))</xm:f>
            <xm:f>$Q$12</xm:f>
            <x14:dxf>
              <fill>
                <patternFill>
                  <bgColor theme="9"/>
                </patternFill>
              </fill>
            </x14:dxf>
          </x14:cfRule>
          <x14:cfRule type="containsText" priority="1538" operator="containsText" id="{248C65B7-842A-407D-AE03-F809CA72C39A}">
            <xm:f>NOT(ISERROR(SEARCH($Q$12,AL872)))</xm:f>
            <xm:f>$Q$12</xm:f>
            <x14:dxf>
              <fill>
                <patternFill>
                  <bgColor rgb="FFFFC000"/>
                </patternFill>
              </fill>
            </x14:dxf>
          </x14:cfRule>
          <x14:cfRule type="containsText" priority="1539" operator="containsText" id="{CB1450D1-2226-4DC7-8027-DB553A6CAFC9}">
            <xm:f>NOT(ISERROR(SEARCH($Q$12,AL872)))</xm:f>
            <xm:f>$Q$12</xm:f>
            <x14:dxf>
              <fill>
                <patternFill>
                  <bgColor rgb="FFFF0000"/>
                </patternFill>
              </fill>
            </x14:dxf>
          </x14:cfRule>
          <xm:sqref>AL872</xm:sqref>
        </x14:conditionalFormatting>
        <x14:conditionalFormatting xmlns:xm="http://schemas.microsoft.com/office/excel/2006/main">
          <x14:cfRule type="containsText" priority="1076" operator="containsText" id="{0F743D4B-1725-41FF-87FA-1364DEB9ADEF}">
            <xm:f>NOT(ISERROR(SEARCH($Q$12,AL882)))</xm:f>
            <xm:f>$Q$12</xm:f>
            <x14:dxf>
              <fill>
                <patternFill>
                  <bgColor rgb="FFFFFF00"/>
                </patternFill>
              </fill>
            </x14:dxf>
          </x14:cfRule>
          <x14:cfRule type="containsText" priority="1082" operator="containsText" id="{4F32FB5F-3C3A-46EB-AE66-A52632DE7F66}">
            <xm:f>NOT(ISERROR(SEARCH($Q$12,AL882)))</xm:f>
            <xm:f>$Q$12</xm:f>
            <x14:dxf>
              <fill>
                <patternFill>
                  <bgColor rgb="FFFFC000"/>
                </patternFill>
              </fill>
            </x14:dxf>
          </x14:cfRule>
          <x14:cfRule type="containsText" priority="1074" operator="containsText" id="{7A2DA7ED-73AC-4C64-97BA-A4E2F8C734EA}">
            <xm:f>NOT(ISERROR(SEARCH($Q$12,AL882)))</xm:f>
            <xm:f>$Q$12</xm:f>
            <x14:dxf>
              <fill>
                <patternFill>
                  <bgColor rgb="FF00B050"/>
                </patternFill>
              </fill>
            </x14:dxf>
          </x14:cfRule>
          <x14:cfRule type="containsText" priority="1080" operator="containsText" id="{B6C33D5E-EE0A-4525-90CC-AFB10A998F0E}">
            <xm:f>NOT(ISERROR(SEARCH($Q$12,AL882)))</xm:f>
            <xm:f>$Q$12</xm:f>
            <x14:dxf>
              <fill>
                <patternFill>
                  <bgColor theme="9"/>
                </patternFill>
              </fill>
            </x14:dxf>
          </x14:cfRule>
          <x14:cfRule type="containsText" priority="1079" operator="containsText" id="{7F65C26F-E243-43D2-8F41-11E8A73AFED8}">
            <xm:f>NOT(ISERROR(SEARCH($Q$12,AL882)))</xm:f>
            <xm:f>$Q$12</xm:f>
            <x14:dxf>
              <fill>
                <patternFill>
                  <bgColor theme="9" tint="0.59996337778862885"/>
                </patternFill>
              </fill>
            </x14:dxf>
          </x14:cfRule>
          <x14:cfRule type="containsText" priority="1078" operator="containsText" id="{13B8136C-FDA5-41E4-A462-E6F5E37A4E29}">
            <xm:f>NOT(ISERROR(SEARCH($Q$12,AL882)))</xm:f>
            <xm:f>$Q$12</xm:f>
            <x14:dxf>
              <fill>
                <patternFill>
                  <bgColor rgb="FFFF0000"/>
                </patternFill>
              </fill>
            </x14:dxf>
          </x14:cfRule>
          <x14:cfRule type="containsText" priority="1072" operator="containsText" id="{B394A6D4-D13C-46A1-B99F-8A5D460039C7}">
            <xm:f>NOT(ISERROR(SEARCH($Q$12,AL882)))</xm:f>
            <xm:f>$Q$12</xm:f>
            <x14:dxf>
              <fill>
                <patternFill>
                  <bgColor theme="9" tint="0.79998168889431442"/>
                </patternFill>
              </fill>
            </x14:dxf>
          </x14:cfRule>
          <x14:cfRule type="containsText" priority="1083" operator="containsText" id="{8FCC4946-B7B3-46AC-93BA-89345352626F}">
            <xm:f>NOT(ISERROR(SEARCH($Q$12,AL882)))</xm:f>
            <xm:f>$Q$12</xm:f>
            <x14:dxf>
              <fill>
                <patternFill>
                  <bgColor rgb="FFFF0000"/>
                </patternFill>
              </fill>
            </x14:dxf>
          </x14:cfRule>
          <x14:cfRule type="containsText" priority="1071" operator="containsText" id="{40EDB48E-74A4-4D4F-BD3F-16AF46C69BC1}">
            <xm:f>NOT(ISERROR(SEARCH($Q$12,AL882)))</xm:f>
            <xm:f>$Q$12</xm:f>
            <x14:dxf>
              <fill>
                <patternFill>
                  <bgColor rgb="FFFFFF00"/>
                </patternFill>
              </fill>
            </x14:dxf>
          </x14:cfRule>
          <x14:cfRule type="containsText" priority="1077" operator="containsText" id="{0D1DFA13-A9C8-4036-A1B2-066F6C00EC74}">
            <xm:f>NOT(ISERROR(SEARCH($Q$12,AL882)))</xm:f>
            <xm:f>$Q$12</xm:f>
            <x14:dxf>
              <fill>
                <patternFill>
                  <bgColor rgb="FFFFC000"/>
                </patternFill>
              </fill>
            </x14:dxf>
          </x14:cfRule>
          <x14:cfRule type="containsText" priority="1073" operator="containsText" id="{30262899-8B3E-4564-8E97-AFB4DC6F93E2}">
            <xm:f>NOT(ISERROR(SEARCH($Q$12,AL882)))</xm:f>
            <xm:f>$Q$12</xm:f>
            <x14:dxf>
              <fill>
                <patternFill>
                  <bgColor theme="9" tint="0.39994506668294322"/>
                </patternFill>
              </fill>
            </x14:dxf>
          </x14:cfRule>
          <xm:sqref>AL882</xm:sqref>
        </x14:conditionalFormatting>
        <x14:conditionalFormatting xmlns:xm="http://schemas.microsoft.com/office/excel/2006/main">
          <x14:cfRule type="containsText" priority="1050" operator="containsText" id="{48AB1AFB-FDBF-4741-B74D-3F9391D099A4}">
            <xm:f>NOT(ISERROR(SEARCH($Q$12,AL892)))</xm:f>
            <xm:f>$Q$12</xm:f>
            <x14:dxf>
              <fill>
                <patternFill>
                  <bgColor rgb="FFFFFF00"/>
                </patternFill>
              </fill>
            </x14:dxf>
          </x14:cfRule>
          <x14:cfRule type="containsText" priority="1047" operator="containsText" id="{E93C6164-4751-4924-88B3-A4BC73D50E23}">
            <xm:f>NOT(ISERROR(SEARCH($Q$12,AL892)))</xm:f>
            <xm:f>$Q$12</xm:f>
            <x14:dxf>
              <fill>
                <patternFill>
                  <bgColor theme="9" tint="0.39994506668294322"/>
                </patternFill>
              </fill>
            </x14:dxf>
          </x14:cfRule>
          <x14:cfRule type="containsText" priority="1046" operator="containsText" id="{FEA7A96A-76DA-47AD-B4F9-7D31A2F0E661}">
            <xm:f>NOT(ISERROR(SEARCH($Q$12,AL892)))</xm:f>
            <xm:f>$Q$12</xm:f>
            <x14:dxf>
              <fill>
                <patternFill>
                  <bgColor theme="9" tint="0.79998168889431442"/>
                </patternFill>
              </fill>
            </x14:dxf>
          </x14:cfRule>
          <x14:cfRule type="containsText" priority="1051" operator="containsText" id="{EC670F73-C585-4172-8D0F-D14A27D6133A}">
            <xm:f>NOT(ISERROR(SEARCH($Q$12,AL892)))</xm:f>
            <xm:f>$Q$12</xm:f>
            <x14:dxf>
              <fill>
                <patternFill>
                  <bgColor rgb="FFFFC000"/>
                </patternFill>
              </fill>
            </x14:dxf>
          </x14:cfRule>
          <x14:cfRule type="containsText" priority="1057" operator="containsText" id="{A7B58FB8-922A-4A35-92E9-2FD94629E282}">
            <xm:f>NOT(ISERROR(SEARCH($Q$12,AL892)))</xm:f>
            <xm:f>$Q$12</xm:f>
            <x14:dxf>
              <fill>
                <patternFill>
                  <bgColor rgb="FFFF0000"/>
                </patternFill>
              </fill>
            </x14:dxf>
          </x14:cfRule>
          <x14:cfRule type="containsText" priority="1056" operator="containsText" id="{BA3F3E86-8070-4A5B-903B-B8B490706F45}">
            <xm:f>NOT(ISERROR(SEARCH($Q$12,AL892)))</xm:f>
            <xm:f>$Q$12</xm:f>
            <x14:dxf>
              <fill>
                <patternFill>
                  <bgColor rgb="FFFFC000"/>
                </patternFill>
              </fill>
            </x14:dxf>
          </x14:cfRule>
          <x14:cfRule type="containsText" priority="1054" operator="containsText" id="{41F4E630-3BF8-4AED-804D-92EA79B601A3}">
            <xm:f>NOT(ISERROR(SEARCH($Q$12,AL892)))</xm:f>
            <xm:f>$Q$12</xm:f>
            <x14:dxf>
              <fill>
                <patternFill>
                  <bgColor theme="9"/>
                </patternFill>
              </fill>
            </x14:dxf>
          </x14:cfRule>
          <x14:cfRule type="containsText" priority="1053" operator="containsText" id="{CB8C15FF-A932-473E-B992-E23CCBECB362}">
            <xm:f>NOT(ISERROR(SEARCH($Q$12,AL892)))</xm:f>
            <xm:f>$Q$12</xm:f>
            <x14:dxf>
              <fill>
                <patternFill>
                  <bgColor theme="9" tint="0.59996337778862885"/>
                </patternFill>
              </fill>
            </x14:dxf>
          </x14:cfRule>
          <x14:cfRule type="containsText" priority="1048" operator="containsText" id="{BC9E0A75-8877-4451-B6A5-44668E4F084A}">
            <xm:f>NOT(ISERROR(SEARCH($Q$12,AL892)))</xm:f>
            <xm:f>$Q$12</xm:f>
            <x14:dxf>
              <fill>
                <patternFill>
                  <bgColor rgb="FF00B050"/>
                </patternFill>
              </fill>
            </x14:dxf>
          </x14:cfRule>
          <x14:cfRule type="containsText" priority="1045" operator="containsText" id="{FC4DC3C2-D558-42C2-BD8A-154C0FB5AE5E}">
            <xm:f>NOT(ISERROR(SEARCH($Q$12,AL892)))</xm:f>
            <xm:f>$Q$12</xm:f>
            <x14:dxf>
              <fill>
                <patternFill>
                  <bgColor rgb="FFFFFF00"/>
                </patternFill>
              </fill>
            </x14:dxf>
          </x14:cfRule>
          <x14:cfRule type="containsText" priority="1052" operator="containsText" id="{42D74F36-9923-44D8-A3A2-494373F33CC5}">
            <xm:f>NOT(ISERROR(SEARCH($Q$12,AL892)))</xm:f>
            <xm:f>$Q$12</xm:f>
            <x14:dxf>
              <fill>
                <patternFill>
                  <bgColor rgb="FFFF0000"/>
                </patternFill>
              </fill>
            </x14:dxf>
          </x14:cfRule>
          <xm:sqref>AL892</xm:sqref>
        </x14:conditionalFormatting>
        <x14:conditionalFormatting xmlns:xm="http://schemas.microsoft.com/office/excel/2006/main">
          <x14:cfRule type="containsText" priority="1028" operator="containsText" id="{A0D4BCB2-2C5A-444E-94BC-5AF7517C8901}">
            <xm:f>NOT(ISERROR(SEARCH($Q$12,AL902)))</xm:f>
            <xm:f>$Q$12</xm:f>
            <x14:dxf>
              <fill>
                <patternFill>
                  <bgColor theme="9"/>
                </patternFill>
              </fill>
            </x14:dxf>
          </x14:cfRule>
          <x14:cfRule type="containsText" priority="1030" operator="containsText" id="{C1082DCA-8C15-4437-A526-EBF4DDE66BBE}">
            <xm:f>NOT(ISERROR(SEARCH($Q$12,AL902)))</xm:f>
            <xm:f>$Q$12</xm:f>
            <x14:dxf>
              <fill>
                <patternFill>
                  <bgColor rgb="FFFFC000"/>
                </patternFill>
              </fill>
            </x14:dxf>
          </x14:cfRule>
          <x14:cfRule type="containsText" priority="1031" operator="containsText" id="{6C813691-18E5-4B30-B196-FCC4E6C1F6A3}">
            <xm:f>NOT(ISERROR(SEARCH($Q$12,AL902)))</xm:f>
            <xm:f>$Q$12</xm:f>
            <x14:dxf>
              <fill>
                <patternFill>
                  <bgColor rgb="FFFF0000"/>
                </patternFill>
              </fill>
            </x14:dxf>
          </x14:cfRule>
          <x14:cfRule type="containsText" priority="1019" operator="containsText" id="{A9663C97-6709-4D39-B402-043CF15996F6}">
            <xm:f>NOT(ISERROR(SEARCH($Q$12,AL902)))</xm:f>
            <xm:f>$Q$12</xm:f>
            <x14:dxf>
              <fill>
                <patternFill>
                  <bgColor rgb="FFFFFF00"/>
                </patternFill>
              </fill>
            </x14:dxf>
          </x14:cfRule>
          <x14:cfRule type="containsText" priority="1020" operator="containsText" id="{8DD8AF6E-DD6E-4C8F-BEA6-654E821BAE40}">
            <xm:f>NOT(ISERROR(SEARCH($Q$12,AL902)))</xm:f>
            <xm:f>$Q$12</xm:f>
            <x14:dxf>
              <fill>
                <patternFill>
                  <bgColor theme="9" tint="0.79998168889431442"/>
                </patternFill>
              </fill>
            </x14:dxf>
          </x14:cfRule>
          <x14:cfRule type="containsText" priority="1021" operator="containsText" id="{17E65D0D-1117-4FA1-BCE4-31150D9B5204}">
            <xm:f>NOT(ISERROR(SEARCH($Q$12,AL902)))</xm:f>
            <xm:f>$Q$12</xm:f>
            <x14:dxf>
              <fill>
                <patternFill>
                  <bgColor theme="9" tint="0.39994506668294322"/>
                </patternFill>
              </fill>
            </x14:dxf>
          </x14:cfRule>
          <x14:cfRule type="containsText" priority="1022" operator="containsText" id="{35C177D6-36E4-46B9-BB2D-DBA32A123881}">
            <xm:f>NOT(ISERROR(SEARCH($Q$12,AL902)))</xm:f>
            <xm:f>$Q$12</xm:f>
            <x14:dxf>
              <fill>
                <patternFill>
                  <bgColor rgb="FF00B050"/>
                </patternFill>
              </fill>
            </x14:dxf>
          </x14:cfRule>
          <x14:cfRule type="containsText" priority="1024" operator="containsText" id="{C189F933-766B-484D-99C0-7946E05FA261}">
            <xm:f>NOT(ISERROR(SEARCH($Q$12,AL902)))</xm:f>
            <xm:f>$Q$12</xm:f>
            <x14:dxf>
              <fill>
                <patternFill>
                  <bgColor rgb="FFFFFF00"/>
                </patternFill>
              </fill>
            </x14:dxf>
          </x14:cfRule>
          <x14:cfRule type="containsText" priority="1025" operator="containsText" id="{08AD1510-6331-4572-B320-75A1912E8A82}">
            <xm:f>NOT(ISERROR(SEARCH($Q$12,AL902)))</xm:f>
            <xm:f>$Q$12</xm:f>
            <x14:dxf>
              <fill>
                <patternFill>
                  <bgColor rgb="FFFFC000"/>
                </patternFill>
              </fill>
            </x14:dxf>
          </x14:cfRule>
          <x14:cfRule type="containsText" priority="1026" operator="containsText" id="{460D536B-7B05-43BC-A4AB-9D9EDD1A31A1}">
            <xm:f>NOT(ISERROR(SEARCH($Q$12,AL902)))</xm:f>
            <xm:f>$Q$12</xm:f>
            <x14:dxf>
              <fill>
                <patternFill>
                  <bgColor rgb="FFFF0000"/>
                </patternFill>
              </fill>
            </x14:dxf>
          </x14:cfRule>
          <x14:cfRule type="containsText" priority="1027" operator="containsText" id="{3DCFA25C-8CC1-450C-986E-0721E9664111}">
            <xm:f>NOT(ISERROR(SEARCH($Q$12,AL902)))</xm:f>
            <xm:f>$Q$12</xm:f>
            <x14:dxf>
              <fill>
                <patternFill>
                  <bgColor theme="9" tint="0.59996337778862885"/>
                </patternFill>
              </fill>
            </x14:dxf>
          </x14:cfRule>
          <xm:sqref>AL902</xm:sqref>
        </x14:conditionalFormatting>
        <x14:conditionalFormatting xmlns:xm="http://schemas.microsoft.com/office/excel/2006/main">
          <x14:cfRule type="containsText" priority="993" operator="containsText" id="{E0383E0F-F77E-4CA8-B6DD-E87845B359C5}">
            <xm:f>NOT(ISERROR(SEARCH($Q$12,AL912)))</xm:f>
            <xm:f>$Q$12</xm:f>
            <x14:dxf>
              <fill>
                <patternFill>
                  <bgColor rgb="FFFFFF00"/>
                </patternFill>
              </fill>
            </x14:dxf>
          </x14:cfRule>
          <x14:cfRule type="containsText" priority="994" operator="containsText" id="{64B45DA7-D62B-4DE2-B8C4-41F250677F0F}">
            <xm:f>NOT(ISERROR(SEARCH($Q$12,AL912)))</xm:f>
            <xm:f>$Q$12</xm:f>
            <x14:dxf>
              <fill>
                <patternFill>
                  <bgColor theme="9" tint="0.79998168889431442"/>
                </patternFill>
              </fill>
            </x14:dxf>
          </x14:cfRule>
          <x14:cfRule type="containsText" priority="995" operator="containsText" id="{7308078E-C11A-403F-8A9C-D8866FCEAD24}">
            <xm:f>NOT(ISERROR(SEARCH($Q$12,AL912)))</xm:f>
            <xm:f>$Q$12</xm:f>
            <x14:dxf>
              <fill>
                <patternFill>
                  <bgColor theme="9" tint="0.39994506668294322"/>
                </patternFill>
              </fill>
            </x14:dxf>
          </x14:cfRule>
          <x14:cfRule type="containsText" priority="1002" operator="containsText" id="{A2B54AC3-FC33-4331-B87E-ED9C9961D6FF}">
            <xm:f>NOT(ISERROR(SEARCH($Q$12,AL912)))</xm:f>
            <xm:f>$Q$12</xm:f>
            <x14:dxf>
              <fill>
                <patternFill>
                  <bgColor theme="9"/>
                </patternFill>
              </fill>
            </x14:dxf>
          </x14:cfRule>
          <x14:cfRule type="containsText" priority="1004" operator="containsText" id="{997A37C2-6E41-47CD-9B06-76BF720234D2}">
            <xm:f>NOT(ISERROR(SEARCH($Q$12,AL912)))</xm:f>
            <xm:f>$Q$12</xm:f>
            <x14:dxf>
              <fill>
                <patternFill>
                  <bgColor rgb="FFFFC000"/>
                </patternFill>
              </fill>
            </x14:dxf>
          </x14:cfRule>
          <x14:cfRule type="containsText" priority="1005" operator="containsText" id="{77FB08D2-B0E2-4B9A-9DA2-88882075C205}">
            <xm:f>NOT(ISERROR(SEARCH($Q$12,AL912)))</xm:f>
            <xm:f>$Q$12</xm:f>
            <x14:dxf>
              <fill>
                <patternFill>
                  <bgColor rgb="FFFF0000"/>
                </patternFill>
              </fill>
            </x14:dxf>
          </x14:cfRule>
          <x14:cfRule type="containsText" priority="996" operator="containsText" id="{32AB593F-9B87-4FAE-AEDD-E1B5CBF950CF}">
            <xm:f>NOT(ISERROR(SEARCH($Q$12,AL912)))</xm:f>
            <xm:f>$Q$12</xm:f>
            <x14:dxf>
              <fill>
                <patternFill>
                  <bgColor rgb="FF00B050"/>
                </patternFill>
              </fill>
            </x14:dxf>
          </x14:cfRule>
          <x14:cfRule type="containsText" priority="1001" operator="containsText" id="{30246E8A-4D31-4643-AF57-61E01682EAF6}">
            <xm:f>NOT(ISERROR(SEARCH($Q$12,AL912)))</xm:f>
            <xm:f>$Q$12</xm:f>
            <x14:dxf>
              <fill>
                <patternFill>
                  <bgColor theme="9" tint="0.59996337778862885"/>
                </patternFill>
              </fill>
            </x14:dxf>
          </x14:cfRule>
          <x14:cfRule type="containsText" priority="998" operator="containsText" id="{ECDF1E32-E9BE-45DB-AA8B-F50844B25369}">
            <xm:f>NOT(ISERROR(SEARCH($Q$12,AL912)))</xm:f>
            <xm:f>$Q$12</xm:f>
            <x14:dxf>
              <fill>
                <patternFill>
                  <bgColor rgb="FFFFFF00"/>
                </patternFill>
              </fill>
            </x14:dxf>
          </x14:cfRule>
          <x14:cfRule type="containsText" priority="999" operator="containsText" id="{A939373F-420C-40FD-A041-D89A2DB5E5DE}">
            <xm:f>NOT(ISERROR(SEARCH($Q$12,AL912)))</xm:f>
            <xm:f>$Q$12</xm:f>
            <x14:dxf>
              <fill>
                <patternFill>
                  <bgColor rgb="FFFFC000"/>
                </patternFill>
              </fill>
            </x14:dxf>
          </x14:cfRule>
          <x14:cfRule type="containsText" priority="1000" operator="containsText" id="{C415ACCA-6F70-4304-9211-AA0D71A60620}">
            <xm:f>NOT(ISERROR(SEARCH($Q$12,AL912)))</xm:f>
            <xm:f>$Q$12</xm:f>
            <x14:dxf>
              <fill>
                <patternFill>
                  <bgColor rgb="FFFF0000"/>
                </patternFill>
              </fill>
            </x14:dxf>
          </x14:cfRule>
          <xm:sqref>AL912</xm:sqref>
        </x14:conditionalFormatting>
        <x14:conditionalFormatting xmlns:xm="http://schemas.microsoft.com/office/excel/2006/main">
          <x14:cfRule type="containsText" priority="976" operator="containsText" id="{714B9163-DD27-44FE-BB74-6C271E691467}">
            <xm:f>NOT(ISERROR(SEARCH($Q$12,AL922)))</xm:f>
            <xm:f>$Q$12</xm:f>
            <x14:dxf>
              <fill>
                <patternFill>
                  <bgColor theme="9"/>
                </patternFill>
              </fill>
            </x14:dxf>
          </x14:cfRule>
          <x14:cfRule type="containsText" priority="974" operator="containsText" id="{22A77CE7-D224-4322-BF4B-4A3DFE4BAC44}">
            <xm:f>NOT(ISERROR(SEARCH($Q$12,AL922)))</xm:f>
            <xm:f>$Q$12</xm:f>
            <x14:dxf>
              <fill>
                <patternFill>
                  <bgColor rgb="FFFF0000"/>
                </patternFill>
              </fill>
            </x14:dxf>
          </x14:cfRule>
          <x14:cfRule type="containsText" priority="978" operator="containsText" id="{EB95FEE6-BB8D-4996-AC86-5418A549D05F}">
            <xm:f>NOT(ISERROR(SEARCH($Q$12,AL922)))</xm:f>
            <xm:f>$Q$12</xm:f>
            <x14:dxf>
              <fill>
                <patternFill>
                  <bgColor rgb="FFFFC000"/>
                </patternFill>
              </fill>
            </x14:dxf>
          </x14:cfRule>
          <x14:cfRule type="containsText" priority="979" operator="containsText" id="{486502CE-9580-4FC1-9D8C-502C54C35382}">
            <xm:f>NOT(ISERROR(SEARCH($Q$12,AL922)))</xm:f>
            <xm:f>$Q$12</xm:f>
            <x14:dxf>
              <fill>
                <patternFill>
                  <bgColor rgb="FFFF0000"/>
                </patternFill>
              </fill>
            </x14:dxf>
          </x14:cfRule>
          <x14:cfRule type="containsText" priority="973" operator="containsText" id="{A572AD5E-BF8F-4220-A8FD-E360477FDA0A}">
            <xm:f>NOT(ISERROR(SEARCH($Q$12,AL922)))</xm:f>
            <xm:f>$Q$12</xm:f>
            <x14:dxf>
              <fill>
                <patternFill>
                  <bgColor rgb="FFFFC000"/>
                </patternFill>
              </fill>
            </x14:dxf>
          </x14:cfRule>
          <x14:cfRule type="containsText" priority="975" operator="containsText" id="{25B5640F-2362-4538-ADB9-23017A8A5245}">
            <xm:f>NOT(ISERROR(SEARCH($Q$12,AL922)))</xm:f>
            <xm:f>$Q$12</xm:f>
            <x14:dxf>
              <fill>
                <patternFill>
                  <bgColor theme="9" tint="0.59996337778862885"/>
                </patternFill>
              </fill>
            </x14:dxf>
          </x14:cfRule>
          <x14:cfRule type="containsText" priority="972" operator="containsText" id="{57BA1BF6-CA6C-4072-95E8-68C62006457F}">
            <xm:f>NOT(ISERROR(SEARCH($Q$12,AL922)))</xm:f>
            <xm:f>$Q$12</xm:f>
            <x14:dxf>
              <fill>
                <patternFill>
                  <bgColor rgb="FFFFFF00"/>
                </patternFill>
              </fill>
            </x14:dxf>
          </x14:cfRule>
          <x14:cfRule type="containsText" priority="970" operator="containsText" id="{B0F01161-C282-46E4-83EB-EB7552EF3F23}">
            <xm:f>NOT(ISERROR(SEARCH($Q$12,AL922)))</xm:f>
            <xm:f>$Q$12</xm:f>
            <x14:dxf>
              <fill>
                <patternFill>
                  <bgColor rgb="FF00B050"/>
                </patternFill>
              </fill>
            </x14:dxf>
          </x14:cfRule>
          <x14:cfRule type="containsText" priority="969" operator="containsText" id="{C1E9E68C-3675-42A7-BDB1-503B80DDA8A6}">
            <xm:f>NOT(ISERROR(SEARCH($Q$12,AL922)))</xm:f>
            <xm:f>$Q$12</xm:f>
            <x14:dxf>
              <fill>
                <patternFill>
                  <bgColor theme="9" tint="0.39994506668294322"/>
                </patternFill>
              </fill>
            </x14:dxf>
          </x14:cfRule>
          <x14:cfRule type="containsText" priority="968" operator="containsText" id="{1C43D22E-F620-46AA-ABB4-318F0FA1530D}">
            <xm:f>NOT(ISERROR(SEARCH($Q$12,AL922)))</xm:f>
            <xm:f>$Q$12</xm:f>
            <x14:dxf>
              <fill>
                <patternFill>
                  <bgColor theme="9" tint="0.79998168889431442"/>
                </patternFill>
              </fill>
            </x14:dxf>
          </x14:cfRule>
          <x14:cfRule type="containsText" priority="967" operator="containsText" id="{BC8D948B-0AA3-459A-9661-352879C22B8D}">
            <xm:f>NOT(ISERROR(SEARCH($Q$12,AL922)))</xm:f>
            <xm:f>$Q$12</xm:f>
            <x14:dxf>
              <fill>
                <patternFill>
                  <bgColor rgb="FFFFFF00"/>
                </patternFill>
              </fill>
            </x14:dxf>
          </x14:cfRule>
          <xm:sqref>AL922</xm:sqref>
        </x14:conditionalFormatting>
        <x14:conditionalFormatting xmlns:xm="http://schemas.microsoft.com/office/excel/2006/main">
          <x14:cfRule type="containsText" priority="953" operator="containsText" id="{E63CACFF-5836-4A1E-ADB0-EFC412AA6050}">
            <xm:f>NOT(ISERROR(SEARCH($Q$12,AL932)))</xm:f>
            <xm:f>$Q$12</xm:f>
            <x14:dxf>
              <fill>
                <patternFill>
                  <bgColor rgb="FFFF0000"/>
                </patternFill>
              </fill>
            </x14:dxf>
          </x14:cfRule>
          <x14:cfRule type="containsText" priority="950" operator="containsText" id="{5A70711B-D6C2-47CF-876E-3FE74121C337}">
            <xm:f>NOT(ISERROR(SEARCH($Q$12,AL932)))</xm:f>
            <xm:f>$Q$12</xm:f>
            <x14:dxf>
              <fill>
                <patternFill>
                  <bgColor theme="9"/>
                </patternFill>
              </fill>
            </x14:dxf>
          </x14:cfRule>
          <x14:cfRule type="containsText" priority="952" operator="containsText" id="{DDA6C7AF-303B-4C90-B806-8E12631EF9C7}">
            <xm:f>NOT(ISERROR(SEARCH($Q$12,AL932)))</xm:f>
            <xm:f>$Q$12</xm:f>
            <x14:dxf>
              <fill>
                <patternFill>
                  <bgColor rgb="FFFFC000"/>
                </patternFill>
              </fill>
            </x14:dxf>
          </x14:cfRule>
          <x14:cfRule type="containsText" priority="949" operator="containsText" id="{8979EE44-024C-47FA-97F4-8A052679F6ED}">
            <xm:f>NOT(ISERROR(SEARCH($Q$12,AL932)))</xm:f>
            <xm:f>$Q$12</xm:f>
            <x14:dxf>
              <fill>
                <patternFill>
                  <bgColor theme="9" tint="0.59996337778862885"/>
                </patternFill>
              </fill>
            </x14:dxf>
          </x14:cfRule>
          <x14:cfRule type="containsText" priority="941" operator="containsText" id="{923FC130-AFDD-459F-8F92-E78857263B53}">
            <xm:f>NOT(ISERROR(SEARCH($Q$12,AL932)))</xm:f>
            <xm:f>$Q$12</xm:f>
            <x14:dxf>
              <fill>
                <patternFill>
                  <bgColor rgb="FFFFFF00"/>
                </patternFill>
              </fill>
            </x14:dxf>
          </x14:cfRule>
          <x14:cfRule type="containsText" priority="942" operator="containsText" id="{ADA94698-C18A-44D1-AE71-B7506E849225}">
            <xm:f>NOT(ISERROR(SEARCH($Q$12,AL932)))</xm:f>
            <xm:f>$Q$12</xm:f>
            <x14:dxf>
              <fill>
                <patternFill>
                  <bgColor theme="9" tint="0.79998168889431442"/>
                </patternFill>
              </fill>
            </x14:dxf>
          </x14:cfRule>
          <x14:cfRule type="containsText" priority="943" operator="containsText" id="{29A20EAC-0DCB-4F09-B56D-58FD63646297}">
            <xm:f>NOT(ISERROR(SEARCH($Q$12,AL932)))</xm:f>
            <xm:f>$Q$12</xm:f>
            <x14:dxf>
              <fill>
                <patternFill>
                  <bgColor theme="9" tint="0.39994506668294322"/>
                </patternFill>
              </fill>
            </x14:dxf>
          </x14:cfRule>
          <x14:cfRule type="containsText" priority="944" operator="containsText" id="{E64EFB76-E5A5-4612-AACE-18818E0CBD6A}">
            <xm:f>NOT(ISERROR(SEARCH($Q$12,AL932)))</xm:f>
            <xm:f>$Q$12</xm:f>
            <x14:dxf>
              <fill>
                <patternFill>
                  <bgColor rgb="FF00B050"/>
                </patternFill>
              </fill>
            </x14:dxf>
          </x14:cfRule>
          <x14:cfRule type="containsText" priority="946" operator="containsText" id="{8CA84592-B836-4ACB-B7A0-CCC70A8E708B}">
            <xm:f>NOT(ISERROR(SEARCH($Q$12,AL932)))</xm:f>
            <xm:f>$Q$12</xm:f>
            <x14:dxf>
              <fill>
                <patternFill>
                  <bgColor rgb="FFFFFF00"/>
                </patternFill>
              </fill>
            </x14:dxf>
          </x14:cfRule>
          <x14:cfRule type="containsText" priority="947" operator="containsText" id="{10B3A314-1A48-4AC5-83CB-B4B5459A8EA8}">
            <xm:f>NOT(ISERROR(SEARCH($Q$12,AL932)))</xm:f>
            <xm:f>$Q$12</xm:f>
            <x14:dxf>
              <fill>
                <patternFill>
                  <bgColor rgb="FFFFC000"/>
                </patternFill>
              </fill>
            </x14:dxf>
          </x14:cfRule>
          <x14:cfRule type="containsText" priority="948" operator="containsText" id="{5984E681-2FA3-4653-9ABC-975B17207062}">
            <xm:f>NOT(ISERROR(SEARCH($Q$12,AL932)))</xm:f>
            <xm:f>$Q$12</xm:f>
            <x14:dxf>
              <fill>
                <patternFill>
                  <bgColor rgb="FFFF0000"/>
                </patternFill>
              </fill>
            </x14:dxf>
          </x14:cfRule>
          <xm:sqref>AL932</xm:sqref>
        </x14:conditionalFormatting>
        <x14:conditionalFormatting xmlns:xm="http://schemas.microsoft.com/office/excel/2006/main">
          <x14:cfRule type="containsText" priority="843" operator="containsText" id="{2E7E4BA6-5424-466D-A597-500285F42598}">
            <xm:f>NOT(ISERROR(SEARCH($Q$12,AL942)))</xm:f>
            <xm:f>$Q$12</xm:f>
            <x14:dxf>
              <fill>
                <patternFill>
                  <bgColor rgb="FFFFFF00"/>
                </patternFill>
              </fill>
            </x14:dxf>
          </x14:cfRule>
          <x14:cfRule type="containsText" priority="842" operator="containsText" id="{5279EA37-E4A1-4F9C-854D-A878E7FC838D}">
            <xm:f>NOT(ISERROR(SEARCH($Q$12,AL942)))</xm:f>
            <xm:f>$Q$12</xm:f>
            <x14:dxf>
              <fill>
                <patternFill>
                  <bgColor theme="9"/>
                </patternFill>
              </fill>
            </x14:dxf>
          </x14:cfRule>
          <x14:cfRule type="containsText" priority="841" operator="containsText" id="{2A1A4F7F-B4C3-4FAF-A395-9B4E9547D57F}">
            <xm:f>NOT(ISERROR(SEARCH($Q$12,AL942)))</xm:f>
            <xm:f>$Q$12</xm:f>
            <x14:dxf>
              <fill>
                <patternFill>
                  <bgColor theme="9" tint="0.59996337778862885"/>
                </patternFill>
              </fill>
            </x14:dxf>
          </x14:cfRule>
          <x14:cfRule type="containsText" priority="840" operator="containsText" id="{71C426D1-19B0-426D-8F9A-6502AD2506D1}">
            <xm:f>NOT(ISERROR(SEARCH($Q$12,AL942)))</xm:f>
            <xm:f>$Q$12</xm:f>
            <x14:dxf>
              <fill>
                <patternFill>
                  <bgColor rgb="FFFF0000"/>
                </patternFill>
              </fill>
            </x14:dxf>
          </x14:cfRule>
          <x14:cfRule type="containsText" priority="839" operator="containsText" id="{B6D8B8FB-5E08-4680-AA37-23C248B39E5B}">
            <xm:f>NOT(ISERROR(SEARCH($Q$12,AL942)))</xm:f>
            <xm:f>$Q$12</xm:f>
            <x14:dxf>
              <fill>
                <patternFill>
                  <bgColor rgb="FFFFC000"/>
                </patternFill>
              </fill>
            </x14:dxf>
          </x14:cfRule>
          <x14:cfRule type="containsText" priority="838" operator="containsText" id="{94BCCC0F-BB55-4C60-B64B-8E22CA6D0AB5}">
            <xm:f>NOT(ISERROR(SEARCH($Q$12,AL942)))</xm:f>
            <xm:f>$Q$12</xm:f>
            <x14:dxf>
              <fill>
                <patternFill>
                  <bgColor rgb="FFFFFF00"/>
                </patternFill>
              </fill>
            </x14:dxf>
          </x14:cfRule>
          <x14:cfRule type="containsText" priority="837" operator="containsText" id="{270F9074-FD46-42BC-81E5-2519964875A0}">
            <xm:f>NOT(ISERROR(SEARCH($Q$12,AL942)))</xm:f>
            <xm:f>$Q$12</xm:f>
            <x14:dxf>
              <fill>
                <patternFill>
                  <bgColor rgb="FF00B050"/>
                </patternFill>
              </fill>
            </x14:dxf>
          </x14:cfRule>
          <x14:cfRule type="containsText" priority="836" operator="containsText" id="{6C846423-EABC-454F-816F-19A7B74B2E96}">
            <xm:f>NOT(ISERROR(SEARCH($Q$12,AL942)))</xm:f>
            <xm:f>$Q$12</xm:f>
            <x14:dxf>
              <fill>
                <patternFill>
                  <bgColor theme="9" tint="0.39994506668294322"/>
                </patternFill>
              </fill>
            </x14:dxf>
          </x14:cfRule>
          <x14:cfRule type="containsText" priority="835" operator="containsText" id="{5D79E309-593E-4AE2-8696-46AA75109FA3}">
            <xm:f>NOT(ISERROR(SEARCH($Q$12,AL942)))</xm:f>
            <xm:f>$Q$12</xm:f>
            <x14:dxf>
              <fill>
                <patternFill>
                  <bgColor theme="9" tint="0.79998168889431442"/>
                </patternFill>
              </fill>
            </x14:dxf>
          </x14:cfRule>
          <x14:cfRule type="containsText" priority="845" operator="containsText" id="{B20CC2F7-91E3-4DEE-8E68-EAE9CCF2E3B7}">
            <xm:f>NOT(ISERROR(SEARCH($Q$12,AL942)))</xm:f>
            <xm:f>$Q$12</xm:f>
            <x14:dxf>
              <fill>
                <patternFill>
                  <bgColor rgb="FFFF0000"/>
                </patternFill>
              </fill>
            </x14:dxf>
          </x14:cfRule>
          <x14:cfRule type="containsText" priority="844" operator="containsText" id="{3606FF68-A4EB-4EE9-8A48-2D66361B102C}">
            <xm:f>NOT(ISERROR(SEARCH($Q$12,AL942)))</xm:f>
            <xm:f>$Q$12</xm:f>
            <x14:dxf>
              <fill>
                <patternFill>
                  <bgColor rgb="FFFFC000"/>
                </patternFill>
              </fill>
            </x14:dxf>
          </x14:cfRule>
          <xm:sqref>AL942</xm:sqref>
        </x14:conditionalFormatting>
        <x14:conditionalFormatting xmlns:xm="http://schemas.microsoft.com/office/excel/2006/main">
          <x14:cfRule type="containsText" priority="761" operator="containsText" id="{E93AB43E-0CB1-407A-B275-9D0918C8C9A2}">
            <xm:f>NOT(ISERROR(SEARCH($Q$12,AL952)))</xm:f>
            <xm:f>$Q$12</xm:f>
            <x14:dxf>
              <fill>
                <patternFill>
                  <bgColor theme="9" tint="0.59996337778862885"/>
                </patternFill>
              </fill>
            </x14:dxf>
          </x14:cfRule>
          <x14:cfRule type="containsText" priority="762" operator="containsText" id="{49311646-54E4-416B-9CA1-F05F4ED8F1B6}">
            <xm:f>NOT(ISERROR(SEARCH($Q$12,AL952)))</xm:f>
            <xm:f>$Q$12</xm:f>
            <x14:dxf>
              <fill>
                <patternFill>
                  <bgColor theme="9"/>
                </patternFill>
              </fill>
            </x14:dxf>
          </x14:cfRule>
          <x14:cfRule type="containsText" priority="764" operator="containsText" id="{700F109C-ABEF-4F5A-9C9E-B46AA324B7D0}">
            <xm:f>NOT(ISERROR(SEARCH($Q$12,AL952)))</xm:f>
            <xm:f>$Q$12</xm:f>
            <x14:dxf>
              <fill>
                <patternFill>
                  <bgColor rgb="FFFFC000"/>
                </patternFill>
              </fill>
            </x14:dxf>
          </x14:cfRule>
          <x14:cfRule type="containsText" priority="765" operator="containsText" id="{645D0598-2061-4015-9ADE-83E102796ABA}">
            <xm:f>NOT(ISERROR(SEARCH($Q$12,AL952)))</xm:f>
            <xm:f>$Q$12</xm:f>
            <x14:dxf>
              <fill>
                <patternFill>
                  <bgColor rgb="FFFF0000"/>
                </patternFill>
              </fill>
            </x14:dxf>
          </x14:cfRule>
          <x14:cfRule type="containsText" priority="754" operator="containsText" id="{B744EBA9-8DD1-45C6-BCEE-5709CFBA719C}">
            <xm:f>NOT(ISERROR(SEARCH($Q$12,AL952)))</xm:f>
            <xm:f>$Q$12</xm:f>
            <x14:dxf>
              <fill>
                <patternFill>
                  <bgColor theme="9" tint="0.79998168889431442"/>
                </patternFill>
              </fill>
            </x14:dxf>
          </x14:cfRule>
          <x14:cfRule type="containsText" priority="753" operator="containsText" id="{AA244FD2-CDC5-4133-B1D4-AB93F7FD0ADC}">
            <xm:f>NOT(ISERROR(SEARCH($Q$12,AL952)))</xm:f>
            <xm:f>$Q$12</xm:f>
            <x14:dxf>
              <fill>
                <patternFill>
                  <bgColor rgb="FFFFFF00"/>
                </patternFill>
              </fill>
            </x14:dxf>
          </x14:cfRule>
          <x14:cfRule type="containsText" priority="755" operator="containsText" id="{0843A022-D8FF-4130-9E9C-9FC3964344C1}">
            <xm:f>NOT(ISERROR(SEARCH($Q$12,AL952)))</xm:f>
            <xm:f>$Q$12</xm:f>
            <x14:dxf>
              <fill>
                <patternFill>
                  <bgColor theme="9" tint="0.39994506668294322"/>
                </patternFill>
              </fill>
            </x14:dxf>
          </x14:cfRule>
          <x14:cfRule type="containsText" priority="756" operator="containsText" id="{B63D11BC-951F-48F4-BE7F-AE64536D867C}">
            <xm:f>NOT(ISERROR(SEARCH($Q$12,AL952)))</xm:f>
            <xm:f>$Q$12</xm:f>
            <x14:dxf>
              <fill>
                <patternFill>
                  <bgColor rgb="FF00B050"/>
                </patternFill>
              </fill>
            </x14:dxf>
          </x14:cfRule>
          <x14:cfRule type="containsText" priority="758" operator="containsText" id="{7C2858AF-B86F-4EAA-84A2-5DC79DF7129D}">
            <xm:f>NOT(ISERROR(SEARCH($Q$12,AL952)))</xm:f>
            <xm:f>$Q$12</xm:f>
            <x14:dxf>
              <fill>
                <patternFill>
                  <bgColor rgb="FFFFFF00"/>
                </patternFill>
              </fill>
            </x14:dxf>
          </x14:cfRule>
          <x14:cfRule type="containsText" priority="759" operator="containsText" id="{2931CA74-23FF-4E7B-831D-EE41E24DD092}">
            <xm:f>NOT(ISERROR(SEARCH($Q$12,AL952)))</xm:f>
            <xm:f>$Q$12</xm:f>
            <x14:dxf>
              <fill>
                <patternFill>
                  <bgColor rgb="FFFFC000"/>
                </patternFill>
              </fill>
            </x14:dxf>
          </x14:cfRule>
          <x14:cfRule type="containsText" priority="760" operator="containsText" id="{4BAE6E28-1D7E-4022-8634-0B0DF61CBC4F}">
            <xm:f>NOT(ISERROR(SEARCH($Q$12,AL952)))</xm:f>
            <xm:f>$Q$12</xm:f>
            <x14:dxf>
              <fill>
                <patternFill>
                  <bgColor rgb="FFFF0000"/>
                </patternFill>
              </fill>
            </x14:dxf>
          </x14:cfRule>
          <xm:sqref>AL952</xm:sqref>
        </x14:conditionalFormatting>
        <x14:conditionalFormatting xmlns:xm="http://schemas.microsoft.com/office/excel/2006/main">
          <x14:cfRule type="containsText" priority="599" operator="containsText" id="{50630383-B093-4595-B1D8-EF85D5869F07}">
            <xm:f>NOT(ISERROR(SEARCH($Q$12,AL962)))</xm:f>
            <xm:f>$Q$12</xm:f>
            <x14:dxf>
              <fill>
                <patternFill>
                  <bgColor rgb="FFFFFF00"/>
                </patternFill>
              </fill>
            </x14:dxf>
          </x14:cfRule>
          <x14:cfRule type="containsText" priority="611" operator="containsText" id="{D00908B3-AC3E-4463-BB3B-7A81491FA19B}">
            <xm:f>NOT(ISERROR(SEARCH($Q$12,AL962)))</xm:f>
            <xm:f>$Q$12</xm:f>
            <x14:dxf>
              <fill>
                <patternFill>
                  <bgColor rgb="FFFF0000"/>
                </patternFill>
              </fill>
            </x14:dxf>
          </x14:cfRule>
          <x14:cfRule type="containsText" priority="610" operator="containsText" id="{79E72287-0D76-4D7F-A73A-8CB20065979B}">
            <xm:f>NOT(ISERROR(SEARCH($Q$12,AL962)))</xm:f>
            <xm:f>$Q$12</xm:f>
            <x14:dxf>
              <fill>
                <patternFill>
                  <bgColor rgb="FFFFC000"/>
                </patternFill>
              </fill>
            </x14:dxf>
          </x14:cfRule>
          <x14:cfRule type="containsText" priority="608" operator="containsText" id="{7F89151F-6FB3-414B-86ED-22031FDD5864}">
            <xm:f>NOT(ISERROR(SEARCH($Q$12,AL962)))</xm:f>
            <xm:f>$Q$12</xm:f>
            <x14:dxf>
              <fill>
                <patternFill>
                  <bgColor theme="9"/>
                </patternFill>
              </fill>
            </x14:dxf>
          </x14:cfRule>
          <x14:cfRule type="containsText" priority="600" operator="containsText" id="{F6B046EA-70C2-40E9-ADDB-5C56E9A419D5}">
            <xm:f>NOT(ISERROR(SEARCH($Q$12,AL962)))</xm:f>
            <xm:f>$Q$12</xm:f>
            <x14:dxf>
              <fill>
                <patternFill>
                  <bgColor theme="9" tint="0.79998168889431442"/>
                </patternFill>
              </fill>
            </x14:dxf>
          </x14:cfRule>
          <x14:cfRule type="containsText" priority="601" operator="containsText" id="{BB643473-5806-42FA-A6F6-F9B5CF424E55}">
            <xm:f>NOT(ISERROR(SEARCH($Q$12,AL962)))</xm:f>
            <xm:f>$Q$12</xm:f>
            <x14:dxf>
              <fill>
                <patternFill>
                  <bgColor theme="9" tint="0.39994506668294322"/>
                </patternFill>
              </fill>
            </x14:dxf>
          </x14:cfRule>
          <x14:cfRule type="containsText" priority="602" operator="containsText" id="{0945939E-E0C9-4081-9ED4-89FE0284EC35}">
            <xm:f>NOT(ISERROR(SEARCH($Q$12,AL962)))</xm:f>
            <xm:f>$Q$12</xm:f>
            <x14:dxf>
              <fill>
                <patternFill>
                  <bgColor rgb="FF00B050"/>
                </patternFill>
              </fill>
            </x14:dxf>
          </x14:cfRule>
          <x14:cfRule type="containsText" priority="604" operator="containsText" id="{6A89DF71-1107-4C53-8D75-20E8CF3B83A6}">
            <xm:f>NOT(ISERROR(SEARCH($Q$12,AL962)))</xm:f>
            <xm:f>$Q$12</xm:f>
            <x14:dxf>
              <fill>
                <patternFill>
                  <bgColor rgb="FFFFFF00"/>
                </patternFill>
              </fill>
            </x14:dxf>
          </x14:cfRule>
          <x14:cfRule type="containsText" priority="605" operator="containsText" id="{180EDAAF-4E1D-4AC6-8F6F-2D33E7E511BC}">
            <xm:f>NOT(ISERROR(SEARCH($Q$12,AL962)))</xm:f>
            <xm:f>$Q$12</xm:f>
            <x14:dxf>
              <fill>
                <patternFill>
                  <bgColor rgb="FFFFC000"/>
                </patternFill>
              </fill>
            </x14:dxf>
          </x14:cfRule>
          <x14:cfRule type="containsText" priority="606" operator="containsText" id="{50ED98F5-0377-457C-A5C0-20E795B509A7}">
            <xm:f>NOT(ISERROR(SEARCH($Q$12,AL962)))</xm:f>
            <xm:f>$Q$12</xm:f>
            <x14:dxf>
              <fill>
                <patternFill>
                  <bgColor rgb="FFFF0000"/>
                </patternFill>
              </fill>
            </x14:dxf>
          </x14:cfRule>
          <x14:cfRule type="containsText" priority="607" operator="containsText" id="{C747D641-8DF7-4E71-B097-A7CF9169B553}">
            <xm:f>NOT(ISERROR(SEARCH($Q$12,AL962)))</xm:f>
            <xm:f>$Q$12</xm:f>
            <x14:dxf>
              <fill>
                <patternFill>
                  <bgColor theme="9" tint="0.59996337778862885"/>
                </patternFill>
              </fill>
            </x14:dxf>
          </x14:cfRule>
          <xm:sqref>AL962</xm:sqref>
        </x14:conditionalFormatting>
        <x14:conditionalFormatting xmlns:xm="http://schemas.microsoft.com/office/excel/2006/main">
          <x14:cfRule type="containsText" priority="359" operator="containsText" id="{E9E63DC5-AE16-402E-B13B-042FAA67AC0C}">
            <xm:f>NOT(ISERROR(SEARCH($Q$12,AL972)))</xm:f>
            <xm:f>$Q$12</xm:f>
            <x14:dxf>
              <fill>
                <patternFill>
                  <bgColor rgb="FFFFFF00"/>
                </patternFill>
              </fill>
            </x14:dxf>
          </x14:cfRule>
          <x14:cfRule type="containsText" priority="360" operator="containsText" id="{0772F29C-3B19-42C7-9D4A-C1D87ABFF768}">
            <xm:f>NOT(ISERROR(SEARCH($Q$12,AL972)))</xm:f>
            <xm:f>$Q$12</xm:f>
            <x14:dxf>
              <fill>
                <patternFill>
                  <bgColor theme="9" tint="0.79998168889431442"/>
                </patternFill>
              </fill>
            </x14:dxf>
          </x14:cfRule>
          <x14:cfRule type="containsText" priority="361" operator="containsText" id="{82DC39D3-59E8-4185-8BBB-4497280A0654}">
            <xm:f>NOT(ISERROR(SEARCH($Q$12,AL972)))</xm:f>
            <xm:f>$Q$12</xm:f>
            <x14:dxf>
              <fill>
                <patternFill>
                  <bgColor theme="9" tint="0.39994506668294322"/>
                </patternFill>
              </fill>
            </x14:dxf>
          </x14:cfRule>
          <x14:cfRule type="containsText" priority="362" operator="containsText" id="{F0A7E098-A400-4861-82F8-33BA4640A92F}">
            <xm:f>NOT(ISERROR(SEARCH($Q$12,AL972)))</xm:f>
            <xm:f>$Q$12</xm:f>
            <x14:dxf>
              <fill>
                <patternFill>
                  <bgColor rgb="FF00B050"/>
                </patternFill>
              </fill>
            </x14:dxf>
          </x14:cfRule>
          <x14:cfRule type="containsText" priority="364" operator="containsText" id="{ABB87981-B135-4EF0-AE15-DA8F1372342E}">
            <xm:f>NOT(ISERROR(SEARCH($Q$12,AL972)))</xm:f>
            <xm:f>$Q$12</xm:f>
            <x14:dxf>
              <fill>
                <patternFill>
                  <bgColor rgb="FFFFFF00"/>
                </patternFill>
              </fill>
            </x14:dxf>
          </x14:cfRule>
          <x14:cfRule type="containsText" priority="365" operator="containsText" id="{FD701998-B72F-4557-949D-6AA10B0A4A75}">
            <xm:f>NOT(ISERROR(SEARCH($Q$12,AL972)))</xm:f>
            <xm:f>$Q$12</xm:f>
            <x14:dxf>
              <fill>
                <patternFill>
                  <bgColor rgb="FFFFC000"/>
                </patternFill>
              </fill>
            </x14:dxf>
          </x14:cfRule>
          <x14:cfRule type="containsText" priority="366" operator="containsText" id="{BC167165-F55B-46FB-BA88-3BEE2E70600E}">
            <xm:f>NOT(ISERROR(SEARCH($Q$12,AL972)))</xm:f>
            <xm:f>$Q$12</xm:f>
            <x14:dxf>
              <fill>
                <patternFill>
                  <bgColor rgb="FFFF0000"/>
                </patternFill>
              </fill>
            </x14:dxf>
          </x14:cfRule>
          <x14:cfRule type="containsText" priority="367" operator="containsText" id="{214440CC-8333-4FD0-B8EC-DC917442FB42}">
            <xm:f>NOT(ISERROR(SEARCH($Q$12,AL972)))</xm:f>
            <xm:f>$Q$12</xm:f>
            <x14:dxf>
              <fill>
                <patternFill>
                  <bgColor theme="9" tint="0.59996337778862885"/>
                </patternFill>
              </fill>
            </x14:dxf>
          </x14:cfRule>
          <x14:cfRule type="containsText" priority="370" operator="containsText" id="{17A97F06-EFA0-4184-BB76-5DEF2CC57F75}">
            <xm:f>NOT(ISERROR(SEARCH($Q$12,AL972)))</xm:f>
            <xm:f>$Q$12</xm:f>
            <x14:dxf>
              <fill>
                <patternFill>
                  <bgColor rgb="FFFFC000"/>
                </patternFill>
              </fill>
            </x14:dxf>
          </x14:cfRule>
          <x14:cfRule type="containsText" priority="368" operator="containsText" id="{0BAE644A-EBDC-4073-9D31-2FAC29CA133F}">
            <xm:f>NOT(ISERROR(SEARCH($Q$12,AL972)))</xm:f>
            <xm:f>$Q$12</xm:f>
            <x14:dxf>
              <fill>
                <patternFill>
                  <bgColor theme="9"/>
                </patternFill>
              </fill>
            </x14:dxf>
          </x14:cfRule>
          <x14:cfRule type="containsText" priority="371" operator="containsText" id="{333824C6-E017-4B93-A824-FD65309521D8}">
            <xm:f>NOT(ISERROR(SEARCH($Q$12,AL972)))</xm:f>
            <xm:f>$Q$12</xm:f>
            <x14:dxf>
              <fill>
                <patternFill>
                  <bgColor rgb="FFFF0000"/>
                </patternFill>
              </fill>
            </x14:dxf>
          </x14:cfRule>
          <xm:sqref>AL972</xm:sqref>
        </x14:conditionalFormatting>
        <x14:conditionalFormatting xmlns:xm="http://schemas.microsoft.com/office/excel/2006/main">
          <x14:cfRule type="containsText" priority="342" operator="containsText" id="{12537321-05C6-44A5-B2E8-008CECEB8C47}">
            <xm:f>NOT(ISERROR(SEARCH($Q$12,AL982)))</xm:f>
            <xm:f>$Q$12</xm:f>
            <x14:dxf>
              <fill>
                <patternFill>
                  <bgColor theme="9"/>
                </patternFill>
              </fill>
            </x14:dxf>
          </x14:cfRule>
          <x14:cfRule type="containsText" priority="340" operator="containsText" id="{8E63FB09-1101-48D4-9D6E-AF1977E6344E}">
            <xm:f>NOT(ISERROR(SEARCH($Q$12,AL982)))</xm:f>
            <xm:f>$Q$12</xm:f>
            <x14:dxf>
              <fill>
                <patternFill>
                  <bgColor rgb="FFFF0000"/>
                </patternFill>
              </fill>
            </x14:dxf>
          </x14:cfRule>
          <x14:cfRule type="containsText" priority="338" operator="containsText" id="{850918AD-C0D8-422A-895C-F0526290DF66}">
            <xm:f>NOT(ISERROR(SEARCH($Q$12,AL982)))</xm:f>
            <xm:f>$Q$12</xm:f>
            <x14:dxf>
              <fill>
                <patternFill>
                  <bgColor rgb="FFFFFF00"/>
                </patternFill>
              </fill>
            </x14:dxf>
          </x14:cfRule>
          <x14:cfRule type="containsText" priority="336" operator="containsText" id="{22942E48-F3A3-46D2-98BD-24613F24EF53}">
            <xm:f>NOT(ISERROR(SEARCH($Q$12,AL982)))</xm:f>
            <xm:f>$Q$12</xm:f>
            <x14:dxf>
              <fill>
                <patternFill>
                  <bgColor rgb="FF00B050"/>
                </patternFill>
              </fill>
            </x14:dxf>
          </x14:cfRule>
          <x14:cfRule type="containsText" priority="341" operator="containsText" id="{0ED1170F-66B0-4CA9-9CC4-20BAC8A744DB}">
            <xm:f>NOT(ISERROR(SEARCH($Q$12,AL982)))</xm:f>
            <xm:f>$Q$12</xm:f>
            <x14:dxf>
              <fill>
                <patternFill>
                  <bgColor theme="9" tint="0.59996337778862885"/>
                </patternFill>
              </fill>
            </x14:dxf>
          </x14:cfRule>
          <x14:cfRule type="containsText" priority="333" operator="containsText" id="{C6D7550E-7D45-4D00-AAEE-10499A169C59}">
            <xm:f>NOT(ISERROR(SEARCH($Q$12,AL982)))</xm:f>
            <xm:f>$Q$12</xm:f>
            <x14:dxf>
              <fill>
                <patternFill>
                  <bgColor rgb="FFFFFF00"/>
                </patternFill>
              </fill>
            </x14:dxf>
          </x14:cfRule>
          <x14:cfRule type="containsText" priority="335" operator="containsText" id="{F9B58496-7495-45C8-AA25-DF78492B9B5B}">
            <xm:f>NOT(ISERROR(SEARCH($Q$12,AL982)))</xm:f>
            <xm:f>$Q$12</xm:f>
            <x14:dxf>
              <fill>
                <patternFill>
                  <bgColor theme="9" tint="0.39994506668294322"/>
                </patternFill>
              </fill>
            </x14:dxf>
          </x14:cfRule>
          <x14:cfRule type="containsText" priority="334" operator="containsText" id="{FEE5FA3F-5B91-4187-ACB8-3F7D206707FD}">
            <xm:f>NOT(ISERROR(SEARCH($Q$12,AL982)))</xm:f>
            <xm:f>$Q$12</xm:f>
            <x14:dxf>
              <fill>
                <patternFill>
                  <bgColor theme="9" tint="0.79998168889431442"/>
                </patternFill>
              </fill>
            </x14:dxf>
          </x14:cfRule>
          <x14:cfRule type="containsText" priority="339" operator="containsText" id="{27A539C2-2356-4678-B3D2-3B68EB37A236}">
            <xm:f>NOT(ISERROR(SEARCH($Q$12,AL982)))</xm:f>
            <xm:f>$Q$12</xm:f>
            <x14:dxf>
              <fill>
                <patternFill>
                  <bgColor rgb="FFFFC000"/>
                </patternFill>
              </fill>
            </x14:dxf>
          </x14:cfRule>
          <x14:cfRule type="containsText" priority="344" operator="containsText" id="{3965D42A-4122-4981-BB0F-DEC9329D5C81}">
            <xm:f>NOT(ISERROR(SEARCH($Q$12,AL982)))</xm:f>
            <xm:f>$Q$12</xm:f>
            <x14:dxf>
              <fill>
                <patternFill>
                  <bgColor rgb="FFFFC000"/>
                </patternFill>
              </fill>
            </x14:dxf>
          </x14:cfRule>
          <x14:cfRule type="containsText" priority="345" operator="containsText" id="{C9738B73-EDB5-47AA-8749-10E123621608}">
            <xm:f>NOT(ISERROR(SEARCH($Q$12,AL982)))</xm:f>
            <xm:f>$Q$12</xm:f>
            <x14:dxf>
              <fill>
                <patternFill>
                  <bgColor rgb="FFFF0000"/>
                </patternFill>
              </fill>
            </x14:dxf>
          </x14:cfRule>
          <xm:sqref>AL982</xm:sqref>
        </x14:conditionalFormatting>
        <x14:conditionalFormatting xmlns:xm="http://schemas.microsoft.com/office/excel/2006/main">
          <x14:cfRule type="containsText" priority="319" operator="containsText" id="{0DD7A722-4708-4F64-819E-4A42212493ED}">
            <xm:f>NOT(ISERROR(SEARCH($Q$12,AL992)))</xm:f>
            <xm:f>$Q$12</xm:f>
            <x14:dxf>
              <fill>
                <patternFill>
                  <bgColor rgb="FFFF0000"/>
                </patternFill>
              </fill>
            </x14:dxf>
          </x14:cfRule>
          <x14:cfRule type="containsText" priority="318" operator="containsText" id="{BE653F86-7B6F-4586-92A2-BB1B57FCA163}">
            <xm:f>NOT(ISERROR(SEARCH($Q$12,AL992)))</xm:f>
            <xm:f>$Q$12</xm:f>
            <x14:dxf>
              <fill>
                <patternFill>
                  <bgColor rgb="FFFFC000"/>
                </patternFill>
              </fill>
            </x14:dxf>
          </x14:cfRule>
          <x14:cfRule type="containsText" priority="316" operator="containsText" id="{5AAAB19D-7486-4AB5-AD14-C96DC62CEE69}">
            <xm:f>NOT(ISERROR(SEARCH($Q$12,AL992)))</xm:f>
            <xm:f>$Q$12</xm:f>
            <x14:dxf>
              <fill>
                <patternFill>
                  <bgColor theme="9"/>
                </patternFill>
              </fill>
            </x14:dxf>
          </x14:cfRule>
          <x14:cfRule type="containsText" priority="315" operator="containsText" id="{735C354C-09B4-44A8-BE58-4CCE8D5ACE01}">
            <xm:f>NOT(ISERROR(SEARCH($Q$12,AL992)))</xm:f>
            <xm:f>$Q$12</xm:f>
            <x14:dxf>
              <fill>
                <patternFill>
                  <bgColor theme="9" tint="0.59996337778862885"/>
                </patternFill>
              </fill>
            </x14:dxf>
          </x14:cfRule>
          <x14:cfRule type="containsText" priority="314" operator="containsText" id="{A4A86F2E-5406-4E14-8E94-0017489E2391}">
            <xm:f>NOT(ISERROR(SEARCH($Q$12,AL992)))</xm:f>
            <xm:f>$Q$12</xm:f>
            <x14:dxf>
              <fill>
                <patternFill>
                  <bgColor rgb="FFFF0000"/>
                </patternFill>
              </fill>
            </x14:dxf>
          </x14:cfRule>
          <x14:cfRule type="containsText" priority="313" operator="containsText" id="{AC1B33C5-7EA2-4C55-8AE8-5A9BE3A73C5D}">
            <xm:f>NOT(ISERROR(SEARCH($Q$12,AL992)))</xm:f>
            <xm:f>$Q$12</xm:f>
            <x14:dxf>
              <fill>
                <patternFill>
                  <bgColor rgb="FFFFC000"/>
                </patternFill>
              </fill>
            </x14:dxf>
          </x14:cfRule>
          <x14:cfRule type="containsText" priority="312" operator="containsText" id="{E967FC74-26AB-4DA0-B850-DE10011465C0}">
            <xm:f>NOT(ISERROR(SEARCH($Q$12,AL992)))</xm:f>
            <xm:f>$Q$12</xm:f>
            <x14:dxf>
              <fill>
                <patternFill>
                  <bgColor rgb="FFFFFF00"/>
                </patternFill>
              </fill>
            </x14:dxf>
          </x14:cfRule>
          <x14:cfRule type="containsText" priority="310" operator="containsText" id="{D17DDB75-33AE-4C07-91C0-69D38A8A7447}">
            <xm:f>NOT(ISERROR(SEARCH($Q$12,AL992)))</xm:f>
            <xm:f>$Q$12</xm:f>
            <x14:dxf>
              <fill>
                <patternFill>
                  <bgColor rgb="FF00B050"/>
                </patternFill>
              </fill>
            </x14:dxf>
          </x14:cfRule>
          <x14:cfRule type="containsText" priority="309" operator="containsText" id="{F1908A25-8D49-41A4-B2BF-CC3549EAFB68}">
            <xm:f>NOT(ISERROR(SEARCH($Q$12,AL992)))</xm:f>
            <xm:f>$Q$12</xm:f>
            <x14:dxf>
              <fill>
                <patternFill>
                  <bgColor theme="9" tint="0.39994506668294322"/>
                </patternFill>
              </fill>
            </x14:dxf>
          </x14:cfRule>
          <x14:cfRule type="containsText" priority="308" operator="containsText" id="{ED105B2C-F147-426F-9741-949E6C49F450}">
            <xm:f>NOT(ISERROR(SEARCH($Q$12,AL992)))</xm:f>
            <xm:f>$Q$12</xm:f>
            <x14:dxf>
              <fill>
                <patternFill>
                  <bgColor theme="9" tint="0.79998168889431442"/>
                </patternFill>
              </fill>
            </x14:dxf>
          </x14:cfRule>
          <x14:cfRule type="containsText" priority="307" operator="containsText" id="{0C846B13-65C6-4BC2-8B93-D92B9E964838}">
            <xm:f>NOT(ISERROR(SEARCH($Q$12,AL992)))</xm:f>
            <xm:f>$Q$12</xm:f>
            <x14:dxf>
              <fill>
                <patternFill>
                  <bgColor rgb="FFFFFF00"/>
                </patternFill>
              </fill>
            </x14:dxf>
          </x14:cfRule>
          <xm:sqref>AL992</xm:sqref>
        </x14:conditionalFormatting>
        <x14:conditionalFormatting xmlns:xm="http://schemas.microsoft.com/office/excel/2006/main">
          <x14:cfRule type="containsText" priority="134" operator="containsText" id="{F496BE99-12C1-4B2F-923C-7B48782D2097}">
            <xm:f>NOT(ISERROR(SEARCH($Q$12,AL1002)))</xm:f>
            <xm:f>$Q$12</xm:f>
            <x14:dxf>
              <fill>
                <patternFill>
                  <bgColor rgb="FFFF0000"/>
                </patternFill>
              </fill>
            </x14:dxf>
          </x14:cfRule>
          <x14:cfRule type="containsText" priority="130" operator="containsText" id="{68746493-2D14-4949-BE21-D85FD5547087}">
            <xm:f>NOT(ISERROR(SEARCH($Q$12,AL1002)))</xm:f>
            <xm:f>$Q$12</xm:f>
            <x14:dxf>
              <fill>
                <patternFill>
                  <bgColor rgb="FF00B050"/>
                </patternFill>
              </fill>
            </x14:dxf>
          </x14:cfRule>
          <x14:cfRule type="containsText" priority="129" operator="containsText" id="{701C95CA-F911-4C80-96C9-8990388A9FE6}">
            <xm:f>NOT(ISERROR(SEARCH($Q$12,AL1002)))</xm:f>
            <xm:f>$Q$12</xm:f>
            <x14:dxf>
              <fill>
                <patternFill>
                  <bgColor theme="9" tint="0.39994506668294322"/>
                </patternFill>
              </fill>
            </x14:dxf>
          </x14:cfRule>
          <x14:cfRule type="containsText" priority="138" operator="containsText" id="{77657542-FD6E-4F5B-85F9-53E41D393586}">
            <xm:f>NOT(ISERROR(SEARCH($Q$12,AL1002)))</xm:f>
            <xm:f>$Q$12</xm:f>
            <x14:dxf>
              <fill>
                <patternFill>
                  <bgColor rgb="FFFFC000"/>
                </patternFill>
              </fill>
            </x14:dxf>
          </x14:cfRule>
          <x14:cfRule type="containsText" priority="139" operator="containsText" id="{8C064D62-8837-4C8B-AF4F-1DCE488C88A4}">
            <xm:f>NOT(ISERROR(SEARCH($Q$12,AL1002)))</xm:f>
            <xm:f>$Q$12</xm:f>
            <x14:dxf>
              <fill>
                <patternFill>
                  <bgColor rgb="FFFF0000"/>
                </patternFill>
              </fill>
            </x14:dxf>
          </x14:cfRule>
          <x14:cfRule type="containsText" priority="128" operator="containsText" id="{7E72BC42-C7C1-4C20-B6E4-4153C23B22ED}">
            <xm:f>NOT(ISERROR(SEARCH($Q$12,AL1002)))</xm:f>
            <xm:f>$Q$12</xm:f>
            <x14:dxf>
              <fill>
                <patternFill>
                  <bgColor theme="9" tint="0.79998168889431442"/>
                </patternFill>
              </fill>
            </x14:dxf>
          </x14:cfRule>
          <x14:cfRule type="containsText" priority="136" operator="containsText" id="{47393096-622E-48E5-9090-E2E09BE2871F}">
            <xm:f>NOT(ISERROR(SEARCH($Q$12,AL1002)))</xm:f>
            <xm:f>$Q$12</xm:f>
            <x14:dxf>
              <fill>
                <patternFill>
                  <bgColor theme="9"/>
                </patternFill>
              </fill>
            </x14:dxf>
          </x14:cfRule>
          <x14:cfRule type="containsText" priority="135" operator="containsText" id="{83DC063A-F796-4A45-BD28-5D34067368EE}">
            <xm:f>NOT(ISERROR(SEARCH($Q$12,AL1002)))</xm:f>
            <xm:f>$Q$12</xm:f>
            <x14:dxf>
              <fill>
                <patternFill>
                  <bgColor theme="9" tint="0.59996337778862885"/>
                </patternFill>
              </fill>
            </x14:dxf>
          </x14:cfRule>
          <x14:cfRule type="containsText" priority="127" operator="containsText" id="{3DF4E88C-2A66-4400-825F-48318F2FB7C3}">
            <xm:f>NOT(ISERROR(SEARCH($Q$12,AL1002)))</xm:f>
            <xm:f>$Q$12</xm:f>
            <x14:dxf>
              <fill>
                <patternFill>
                  <bgColor rgb="FFFFFF00"/>
                </patternFill>
              </fill>
            </x14:dxf>
          </x14:cfRule>
          <x14:cfRule type="containsText" priority="133" operator="containsText" id="{8FA37598-1A1F-4403-83A3-987C3B339AAD}">
            <xm:f>NOT(ISERROR(SEARCH($Q$12,AL1002)))</xm:f>
            <xm:f>$Q$12</xm:f>
            <x14:dxf>
              <fill>
                <patternFill>
                  <bgColor rgb="FFFFC000"/>
                </patternFill>
              </fill>
            </x14:dxf>
          </x14:cfRule>
          <x14:cfRule type="containsText" priority="132" operator="containsText" id="{7F1586B7-913C-4B37-8596-84D822C5A364}">
            <xm:f>NOT(ISERROR(SEARCH($Q$12,AL1002)))</xm:f>
            <xm:f>$Q$12</xm:f>
            <x14:dxf>
              <fill>
                <patternFill>
                  <bgColor rgb="FFFFFF00"/>
                </patternFill>
              </fill>
            </x14:dxf>
          </x14:cfRule>
          <xm:sqref>AL1002</xm:sqref>
        </x14:conditionalFormatting>
        <x14:conditionalFormatting xmlns:xm="http://schemas.microsoft.com/office/excel/2006/main">
          <x14:cfRule type="containsText" priority="103" operator="containsText" id="{4CCCBDED-62DC-40AE-B9C5-72B95A18098F}">
            <xm:f>NOT(ISERROR(SEARCH($Q$12,AL1012)))</xm:f>
            <xm:f>$Q$12</xm:f>
            <x14:dxf>
              <fill>
                <patternFill>
                  <bgColor theme="9" tint="0.39994506668294322"/>
                </patternFill>
              </fill>
            </x14:dxf>
          </x14:cfRule>
          <x14:cfRule type="containsText" priority="101" operator="containsText" id="{21254134-A54D-45EE-BC1E-FD1C66A775EE}">
            <xm:f>NOT(ISERROR(SEARCH($Q$12,AL1012)))</xm:f>
            <xm:f>$Q$12</xm:f>
            <x14:dxf>
              <fill>
                <patternFill>
                  <bgColor rgb="FFFFFF00"/>
                </patternFill>
              </fill>
            </x14:dxf>
          </x14:cfRule>
          <x14:cfRule type="containsText" priority="106" operator="containsText" id="{6841CAFD-4246-437D-A760-54CE23AC116D}">
            <xm:f>NOT(ISERROR(SEARCH($Q$12,AL1012)))</xm:f>
            <xm:f>$Q$12</xm:f>
            <x14:dxf>
              <fill>
                <patternFill>
                  <bgColor rgb="FFFFFF00"/>
                </patternFill>
              </fill>
            </x14:dxf>
          </x14:cfRule>
          <x14:cfRule type="containsText" priority="107" operator="containsText" id="{4BC1849A-A1C3-4523-86C9-9FD43B36C792}">
            <xm:f>NOT(ISERROR(SEARCH($Q$12,AL1012)))</xm:f>
            <xm:f>$Q$12</xm:f>
            <x14:dxf>
              <fill>
                <patternFill>
                  <bgColor rgb="FFFFC000"/>
                </patternFill>
              </fill>
            </x14:dxf>
          </x14:cfRule>
          <x14:cfRule type="containsText" priority="102" operator="containsText" id="{69F3E989-794C-4DD0-A103-4DCB0006D925}">
            <xm:f>NOT(ISERROR(SEARCH($Q$12,AL1012)))</xm:f>
            <xm:f>$Q$12</xm:f>
            <x14:dxf>
              <fill>
                <patternFill>
                  <bgColor theme="9" tint="0.79998168889431442"/>
                </patternFill>
              </fill>
            </x14:dxf>
          </x14:cfRule>
          <x14:cfRule type="containsText" priority="113" operator="containsText" id="{9A0F6BD1-164D-4E80-B8CB-3E43D6B94530}">
            <xm:f>NOT(ISERROR(SEARCH($Q$12,AL1012)))</xm:f>
            <xm:f>$Q$12</xm:f>
            <x14:dxf>
              <fill>
                <patternFill>
                  <bgColor rgb="FFFF0000"/>
                </patternFill>
              </fill>
            </x14:dxf>
          </x14:cfRule>
          <x14:cfRule type="containsText" priority="112" operator="containsText" id="{F38C865A-1B09-44DE-A931-B20332A9671A}">
            <xm:f>NOT(ISERROR(SEARCH($Q$12,AL1012)))</xm:f>
            <xm:f>$Q$12</xm:f>
            <x14:dxf>
              <fill>
                <patternFill>
                  <bgColor rgb="FFFFC000"/>
                </patternFill>
              </fill>
            </x14:dxf>
          </x14:cfRule>
          <x14:cfRule type="containsText" priority="110" operator="containsText" id="{0138AC7B-4138-4818-827B-A5DB28BC0A66}">
            <xm:f>NOT(ISERROR(SEARCH($Q$12,AL1012)))</xm:f>
            <xm:f>$Q$12</xm:f>
            <x14:dxf>
              <fill>
                <patternFill>
                  <bgColor theme="9"/>
                </patternFill>
              </fill>
            </x14:dxf>
          </x14:cfRule>
          <x14:cfRule type="containsText" priority="109" operator="containsText" id="{21986309-1F96-49D8-842C-746F7CF37EFC}">
            <xm:f>NOT(ISERROR(SEARCH($Q$12,AL1012)))</xm:f>
            <xm:f>$Q$12</xm:f>
            <x14:dxf>
              <fill>
                <patternFill>
                  <bgColor theme="9" tint="0.59996337778862885"/>
                </patternFill>
              </fill>
            </x14:dxf>
          </x14:cfRule>
          <x14:cfRule type="containsText" priority="108" operator="containsText" id="{BFE42EAC-AA57-4D41-A923-26A9666A93C7}">
            <xm:f>NOT(ISERROR(SEARCH($Q$12,AL1012)))</xm:f>
            <xm:f>$Q$12</xm:f>
            <x14:dxf>
              <fill>
                <patternFill>
                  <bgColor rgb="FFFF0000"/>
                </patternFill>
              </fill>
            </x14:dxf>
          </x14:cfRule>
          <x14:cfRule type="containsText" priority="104" operator="containsText" id="{51657D4C-6BD5-4D62-B8D0-BDF143B0BAE9}">
            <xm:f>NOT(ISERROR(SEARCH($Q$12,AL1012)))</xm:f>
            <xm:f>$Q$12</xm:f>
            <x14:dxf>
              <fill>
                <patternFill>
                  <bgColor rgb="FF00B050"/>
                </patternFill>
              </fill>
            </x14:dxf>
          </x14:cfRule>
          <xm:sqref>AL1012</xm:sqref>
        </x14:conditionalFormatting>
        <x14:conditionalFormatting xmlns:xm="http://schemas.microsoft.com/office/excel/2006/main">
          <x14:cfRule type="containsText" priority="10023" operator="containsText" id="{EF02E367-67B1-4CFD-A3C8-C032DBE2F342}">
            <xm:f>NOT(ISERROR(SEARCH($Q$12,AL12)))</xm:f>
            <xm:f>$Q$12</xm:f>
            <x14:dxf>
              <fill>
                <patternFill>
                  <bgColor rgb="FFFFFF00"/>
                </patternFill>
              </fill>
            </x14:dxf>
          </x14:cfRule>
          <xm:sqref>AL12:AM12</xm:sqref>
        </x14:conditionalFormatting>
        <x14:conditionalFormatting xmlns:xm="http://schemas.microsoft.com/office/excel/2006/main">
          <x14:cfRule type="containsText" priority="9623" operator="containsText" id="{15C7F856-B6CF-46BF-AAF7-95A8001E62ED}">
            <xm:f>NOT(ISERROR(SEARCH($Q$12,AL32)))</xm:f>
            <xm:f>$Q$12</xm:f>
            <x14:dxf>
              <fill>
                <patternFill>
                  <bgColor rgb="FFFFFF00"/>
                </patternFill>
              </fill>
            </x14:dxf>
          </x14:cfRule>
          <xm:sqref>AL32:AM32</xm:sqref>
        </x14:conditionalFormatting>
        <x14:conditionalFormatting xmlns:xm="http://schemas.microsoft.com/office/excel/2006/main">
          <x14:cfRule type="containsText" priority="9135" operator="containsText" id="{01DFC25A-2C46-48E9-B059-4A839ED1933E}">
            <xm:f>NOT(ISERROR(SEARCH($Q$12,AL72)))</xm:f>
            <xm:f>$Q$12</xm:f>
            <x14:dxf>
              <fill>
                <patternFill>
                  <bgColor rgb="FFFFFF00"/>
                </patternFill>
              </fill>
            </x14:dxf>
          </x14:cfRule>
          <xm:sqref>AL72:AM72</xm:sqref>
        </x14:conditionalFormatting>
        <x14:conditionalFormatting xmlns:xm="http://schemas.microsoft.com/office/excel/2006/main">
          <x14:cfRule type="containsText" priority="8823" operator="containsText" id="{305AD6C0-540B-41C3-983C-D67F25ABB184}">
            <xm:f>NOT(ISERROR(SEARCH($Q$12,AL122)))</xm:f>
            <xm:f>$Q$12</xm:f>
            <x14:dxf>
              <fill>
                <patternFill>
                  <bgColor rgb="FFFFFF00"/>
                </patternFill>
              </fill>
            </x14:dxf>
          </x14:cfRule>
          <xm:sqref>AL122:AM122</xm:sqref>
        </x14:conditionalFormatting>
        <x14:conditionalFormatting xmlns:xm="http://schemas.microsoft.com/office/excel/2006/main">
          <x14:cfRule type="containsText" priority="8515" operator="containsText" id="{D436EA40-83B9-452E-9B38-47C513CF0FFA}">
            <xm:f>NOT(ISERROR(SEARCH($Q$12,AL152)))</xm:f>
            <xm:f>$Q$12</xm:f>
            <x14:dxf>
              <fill>
                <patternFill>
                  <bgColor rgb="FFFFFF00"/>
                </patternFill>
              </fill>
            </x14:dxf>
          </x14:cfRule>
          <xm:sqref>AL152:AM152</xm:sqref>
        </x14:conditionalFormatting>
        <x14:conditionalFormatting xmlns:xm="http://schemas.microsoft.com/office/excel/2006/main">
          <x14:cfRule type="containsText" priority="8207" operator="containsText" id="{D860A7DB-C401-42C0-B665-64F33C0A3C5F}">
            <xm:f>NOT(ISERROR(SEARCH($Q$12,AL182)))</xm:f>
            <xm:f>$Q$12</xm:f>
            <x14:dxf>
              <fill>
                <patternFill>
                  <bgColor rgb="FFFFFF00"/>
                </patternFill>
              </fill>
            </x14:dxf>
          </x14:cfRule>
          <xm:sqref>AL182:AM182</xm:sqref>
        </x14:conditionalFormatting>
        <x14:conditionalFormatting xmlns:xm="http://schemas.microsoft.com/office/excel/2006/main">
          <x14:cfRule type="containsText" priority="7269" operator="containsText" id="{7D03B202-D8E5-4815-9613-0567D7C779B5}">
            <xm:f>NOT(ISERROR(SEARCH($Q$12,AL212)))</xm:f>
            <xm:f>$Q$12</xm:f>
            <x14:dxf>
              <fill>
                <patternFill>
                  <bgColor rgb="FFFFFF00"/>
                </patternFill>
              </fill>
            </x14:dxf>
          </x14:cfRule>
          <xm:sqref>AL212:AM212</xm:sqref>
        </x14:conditionalFormatting>
        <x14:conditionalFormatting xmlns:xm="http://schemas.microsoft.com/office/excel/2006/main">
          <x14:cfRule type="containsText" priority="6735" operator="containsText" id="{E1DCE597-B0E2-4629-BD24-35C93D338B6E}">
            <xm:f>NOT(ISERROR(SEARCH($Q$12,AL322)))</xm:f>
            <xm:f>$Q$12</xm:f>
            <x14:dxf>
              <fill>
                <patternFill>
                  <bgColor rgb="FFFFFF00"/>
                </patternFill>
              </fill>
            </x14:dxf>
          </x14:cfRule>
          <xm:sqref>AL322:AM322</xm:sqref>
        </x14:conditionalFormatting>
        <x14:conditionalFormatting xmlns:xm="http://schemas.microsoft.com/office/excel/2006/main">
          <x14:cfRule type="containsText" priority="6337" operator="containsText" id="{1635A480-8660-422A-9787-4FEE801A06CF}">
            <xm:f>NOT(ISERROR(SEARCH($Q$12,AL362)))</xm:f>
            <xm:f>$Q$12</xm:f>
            <x14:dxf>
              <fill>
                <patternFill>
                  <bgColor rgb="FFFFFF00"/>
                </patternFill>
              </fill>
            </x14:dxf>
          </x14:cfRule>
          <xm:sqref>AL362:AM362</xm:sqref>
        </x14:conditionalFormatting>
        <x14:conditionalFormatting xmlns:xm="http://schemas.microsoft.com/office/excel/2006/main">
          <x14:cfRule type="containsText" priority="6119" operator="containsText" id="{94E39BD4-1140-4072-A908-56D2074A4085}">
            <xm:f>NOT(ISERROR(SEARCH($Q$12,AL402)))</xm:f>
            <xm:f>$Q$12</xm:f>
            <x14:dxf>
              <fill>
                <patternFill>
                  <bgColor rgb="FFFFFF00"/>
                </patternFill>
              </fill>
            </x14:dxf>
          </x14:cfRule>
          <xm:sqref>AL402:AM402</xm:sqref>
        </x14:conditionalFormatting>
        <x14:conditionalFormatting xmlns:xm="http://schemas.microsoft.com/office/excel/2006/main">
          <x14:cfRule type="containsText" priority="5901" operator="containsText" id="{D83E0B8D-4007-424A-AB78-E84AAC641BEF}">
            <xm:f>NOT(ISERROR(SEARCH($Q$12,AL422)))</xm:f>
            <xm:f>$Q$12</xm:f>
            <x14:dxf>
              <fill>
                <patternFill>
                  <bgColor rgb="FFFFFF00"/>
                </patternFill>
              </fill>
            </x14:dxf>
          </x14:cfRule>
          <xm:sqref>AL422:AM422</xm:sqref>
        </x14:conditionalFormatting>
        <x14:conditionalFormatting xmlns:xm="http://schemas.microsoft.com/office/excel/2006/main">
          <x14:cfRule type="containsText" priority="4867" operator="containsText" id="{B2ADFC7C-2845-4ED2-A1BF-FDF74C4C55A8}">
            <xm:f>NOT(ISERROR(SEARCH($Q$12,AL532)))</xm:f>
            <xm:f>$Q$12</xm:f>
            <x14:dxf>
              <fill>
                <patternFill>
                  <bgColor rgb="FFFFFF00"/>
                </patternFill>
              </fill>
            </x14:dxf>
          </x14:cfRule>
          <xm:sqref>AL532:AM532</xm:sqref>
        </x14:conditionalFormatting>
        <x14:conditionalFormatting xmlns:xm="http://schemas.microsoft.com/office/excel/2006/main">
          <x14:cfRule type="containsText" priority="3747" operator="containsText" id="{BC9FB890-D174-4868-A24B-B63DA0D6D140}">
            <xm:f>NOT(ISERROR(SEARCH($Q$12,AL622)))</xm:f>
            <xm:f>$Q$12</xm:f>
            <x14:dxf>
              <fill>
                <patternFill>
                  <bgColor rgb="FFFFFF00"/>
                </patternFill>
              </fill>
            </x14:dxf>
          </x14:cfRule>
          <xm:sqref>AL622:AM622</xm:sqref>
        </x14:conditionalFormatting>
        <x14:conditionalFormatting xmlns:xm="http://schemas.microsoft.com/office/excel/2006/main">
          <x14:cfRule type="containsText" priority="737" operator="containsText" id="{C69AFEB2-3BE9-493D-A21B-EF51565CBCA7}">
            <xm:f>NOT(ISERROR(SEARCH($Q$12,AL942)))</xm:f>
            <xm:f>$Q$12</xm:f>
            <x14:dxf>
              <fill>
                <patternFill>
                  <bgColor rgb="FFFFFF00"/>
                </patternFill>
              </fill>
            </x14:dxf>
          </x14:cfRule>
          <xm:sqref>AL942:AM942</xm:sqref>
        </x14:conditionalFormatting>
        <x14:conditionalFormatting xmlns:xm="http://schemas.microsoft.com/office/excel/2006/main">
          <x14:cfRule type="containsText" priority="10867" operator="containsText" id="{27FC1A5C-4220-4B6A-B1F7-3B2ADF2E1543}">
            <xm:f>NOT(ISERROR(SEARCH($Q$12,AL12)))</xm:f>
            <xm:f>$Q$12</xm:f>
            <x14:dxf/>
          </x14:cfRule>
          <xm:sqref>AL12:AN12 AL32:AN32 AL72:AN72 AL122:AN122 AL152:AN152 AL182:AN182 AL212:AN212 AL322:AN322 AL362:AN362 AL402:AN402 AL422:AN422 AL532:AN532 AL622:AN622 AL942:AN942</xm:sqref>
        </x14:conditionalFormatting>
        <x14:conditionalFormatting xmlns:xm="http://schemas.microsoft.com/office/excel/2006/main">
          <x14:cfRule type="containsText" priority="10876" operator="containsText" id="{86FFB03E-C2FD-4565-A30E-658EF90CDBEF}">
            <xm:f>NOT(ISERROR(SEARCH($Q$12,AL22)))</xm:f>
            <xm:f>$Q$12</xm:f>
            <x14:dxf/>
          </x14:cfRule>
          <x14:cfRule type="containsText" priority="10877" operator="containsText" id="{0D95D3A0-5E96-4619-B5C8-32475D958C7D}">
            <xm:f>NOT(ISERROR(SEARCH($Q$12,AL22)))</xm:f>
            <xm:f>$Q$12</xm:f>
            <x14:dxf>
              <fill>
                <patternFill>
                  <bgColor rgb="FFFFFF00"/>
                </patternFill>
              </fill>
            </x14:dxf>
          </x14:cfRule>
          <xm: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xm:sqref>
        </x14:conditionalFormatting>
        <x14:conditionalFormatting xmlns:xm="http://schemas.microsoft.com/office/excel/2006/main">
          <x14:cfRule type="containsText" priority="11285" operator="containsText" id="{9AF0EF6B-8471-4987-B427-535B9BB71B0A}">
            <xm:f>NOT(ISERROR(SEARCH($Q$12,AL442)))</xm:f>
            <xm:f>$Q$12</xm:f>
            <x14:dxf/>
          </x14:cfRule>
          <x14:cfRule type="containsText" priority="11286" operator="containsText" id="{DE5CE885-FADC-43D9-8FFA-62684FDCB3D5}">
            <xm:f>NOT(ISERROR(SEARCH($Q$12,AL442)))</xm:f>
            <xm:f>$Q$12</xm:f>
            <x14:dxf>
              <fill>
                <patternFill>
                  <bgColor rgb="FFFFFF00"/>
                </patternFill>
              </fill>
            </x14:dxf>
          </x14:cfRule>
          <xm:sqref>AL442:AN442 AL452:AN452 AL462:AN462 AL472:AN472 AL482:AN482 AL492:AN492</xm:sqref>
        </x14:conditionalFormatting>
        <x14:conditionalFormatting xmlns:xm="http://schemas.microsoft.com/office/excel/2006/main">
          <x14:cfRule type="containsText" priority="10025" operator="containsText" id="{B4216F70-CF42-458A-8A70-B8C675BB70CD}">
            <xm:f>NOT(ISERROR(SEARCH($Q$12,AM12)))</xm:f>
            <xm:f>$Q$12</xm:f>
            <x14:dxf>
              <fill>
                <patternFill>
                  <bgColor rgb="FFFF0000"/>
                </patternFill>
              </fill>
            </x14:dxf>
          </x14:cfRule>
          <x14:cfRule type="containsText" priority="10024" operator="containsText" id="{05B0FC1D-027E-432C-B759-5B5F24C5120B}">
            <xm:f>NOT(ISERROR(SEARCH($Q$12,AM12)))</xm:f>
            <xm:f>$Q$12</xm:f>
            <x14:dxf>
              <fill>
                <patternFill>
                  <bgColor rgb="FFFFC000"/>
                </patternFill>
              </fill>
            </x14:dxf>
          </x14:cfRule>
          <x14:cfRule type="containsText" priority="10022" operator="containsText" id="{0E9A06FF-88C3-4B7F-82AB-88731C444A8A}">
            <xm:f>NOT(ISERROR(SEARCH($Q$12,AM12)))</xm:f>
            <xm:f>$Q$12</xm:f>
            <x14:dxf>
              <fill>
                <patternFill>
                  <bgColor theme="9"/>
                </patternFill>
              </fill>
            </x14:dxf>
          </x14:cfRule>
          <x14:cfRule type="containsText" priority="10021" operator="containsText" id="{FA33D090-D44C-49C9-BE31-C557415FFDB0}">
            <xm:f>NOT(ISERROR(SEARCH($Q$12,AM12)))</xm:f>
            <xm:f>$Q$12</xm:f>
            <x14:dxf>
              <fill>
                <patternFill>
                  <bgColor theme="9" tint="0.59996337778862885"/>
                </patternFill>
              </fill>
            </x14:dxf>
          </x14:cfRule>
          <x14:cfRule type="containsText" priority="10020" operator="containsText" id="{A4977B8B-DF9A-45F8-A7B8-9430B6E69619}">
            <xm:f>NOT(ISERROR(SEARCH($Q$12,AM12)))</xm:f>
            <xm:f>$Q$12</xm:f>
            <x14:dxf>
              <fill>
                <patternFill>
                  <bgColor rgb="FFFF0000"/>
                </patternFill>
              </fill>
            </x14:dxf>
          </x14:cfRule>
          <x14:cfRule type="containsText" priority="10019" operator="containsText" id="{60313132-903F-4310-A76A-515838F5AF26}">
            <xm:f>NOT(ISERROR(SEARCH($Q$12,AM12)))</xm:f>
            <xm:f>$Q$12</xm:f>
            <x14:dxf>
              <fill>
                <patternFill>
                  <bgColor rgb="FFFFC000"/>
                </patternFill>
              </fill>
            </x14:dxf>
          </x14:cfRule>
          <x14:cfRule type="containsText" priority="10018" operator="containsText" id="{60558AAE-260E-4047-B543-F5FEF5FEB5B1}">
            <xm:f>NOT(ISERROR(SEARCH($Q$12,AM12)))</xm:f>
            <xm:f>$Q$12</xm:f>
            <x14:dxf>
              <fill>
                <patternFill>
                  <bgColor rgb="FFFFFF00"/>
                </patternFill>
              </fill>
            </x14:dxf>
          </x14:cfRule>
          <x14:cfRule type="containsText" priority="10017" operator="containsText" id="{C0E48A9C-CE18-4CCD-8EE2-50B80C7D9732}">
            <xm:f>NOT(ISERROR(SEARCH($Q$12,AM12)))</xm:f>
            <xm:f>$Q$12</xm:f>
            <x14:dxf>
              <fill>
                <patternFill>
                  <bgColor rgb="FF00B050"/>
                </patternFill>
              </fill>
            </x14:dxf>
          </x14:cfRule>
          <x14:cfRule type="containsText" priority="10016" operator="containsText" id="{1A0AC260-2C57-45E7-93E4-BE14DA2896CF}">
            <xm:f>NOT(ISERROR(SEARCH($Q$12,AM12)))</xm:f>
            <xm:f>$Q$12</xm:f>
            <x14:dxf>
              <fill>
                <patternFill>
                  <bgColor theme="9" tint="0.39994506668294322"/>
                </patternFill>
              </fill>
            </x14:dxf>
          </x14:cfRule>
          <x14:cfRule type="containsText" priority="10015" operator="containsText" id="{56DF42D5-A431-4437-980F-1200887FFB1E}">
            <xm:f>NOT(ISERROR(SEARCH($Q$12,AM12)))</xm:f>
            <xm:f>$Q$12</xm:f>
            <x14:dxf>
              <fill>
                <patternFill>
                  <bgColor theme="9" tint="0.79998168889431442"/>
                </patternFill>
              </fill>
            </x14:dxf>
          </x14:cfRule>
          <xm:sqref>AM12</xm:sqref>
        </x14:conditionalFormatting>
        <x14:conditionalFormatting xmlns:xm="http://schemas.microsoft.com/office/excel/2006/main">
          <x14:cfRule type="containsText" priority="9620" operator="containsText" id="{86996EB1-746F-4550-9763-6FC24CF3C3A2}">
            <xm:f>NOT(ISERROR(SEARCH($Q$12,AM32)))</xm:f>
            <xm:f>$Q$12</xm:f>
            <x14:dxf>
              <fill>
                <patternFill>
                  <bgColor rgb="FFFF0000"/>
                </patternFill>
              </fill>
            </x14:dxf>
          </x14:cfRule>
          <x14:cfRule type="containsText" priority="9619" operator="containsText" id="{F75AA789-BB75-4DCC-8133-D865694FA2C1}">
            <xm:f>NOT(ISERROR(SEARCH($Q$12,AM32)))</xm:f>
            <xm:f>$Q$12</xm:f>
            <x14:dxf>
              <fill>
                <patternFill>
                  <bgColor rgb="FFFFC000"/>
                </patternFill>
              </fill>
            </x14:dxf>
          </x14:cfRule>
          <x14:cfRule type="containsText" priority="9618" operator="containsText" id="{A1468BD8-CF64-4E94-8A2D-DF726D45DDAC}">
            <xm:f>NOT(ISERROR(SEARCH($Q$12,AM32)))</xm:f>
            <xm:f>$Q$12</xm:f>
            <x14:dxf>
              <fill>
                <patternFill>
                  <bgColor rgb="FFFFFF00"/>
                </patternFill>
              </fill>
            </x14:dxf>
          </x14:cfRule>
          <x14:cfRule type="containsText" priority="9617" operator="containsText" id="{F14D32BC-FEEA-4F51-9CAF-423FE256004A}">
            <xm:f>NOT(ISERROR(SEARCH($Q$12,AM32)))</xm:f>
            <xm:f>$Q$12</xm:f>
            <x14:dxf>
              <fill>
                <patternFill>
                  <bgColor rgb="FF00B050"/>
                </patternFill>
              </fill>
            </x14:dxf>
          </x14:cfRule>
          <x14:cfRule type="containsText" priority="9625" operator="containsText" id="{D771C00A-E104-462D-918F-79D9DB9FFE4B}">
            <xm:f>NOT(ISERROR(SEARCH($Q$12,AM32)))</xm:f>
            <xm:f>$Q$12</xm:f>
            <x14:dxf>
              <fill>
                <patternFill>
                  <bgColor rgb="FFFF0000"/>
                </patternFill>
              </fill>
            </x14:dxf>
          </x14:cfRule>
          <x14:cfRule type="containsText" priority="9624" operator="containsText" id="{E2439D2F-623C-4AB1-9281-E9A613664285}">
            <xm:f>NOT(ISERROR(SEARCH($Q$12,AM32)))</xm:f>
            <xm:f>$Q$12</xm:f>
            <x14:dxf>
              <fill>
                <patternFill>
                  <bgColor rgb="FFFFC000"/>
                </patternFill>
              </fill>
            </x14:dxf>
          </x14:cfRule>
          <x14:cfRule type="containsText" priority="9622" operator="containsText" id="{58E0D3CC-6C65-491E-BC28-73C245509146}">
            <xm:f>NOT(ISERROR(SEARCH($Q$12,AM32)))</xm:f>
            <xm:f>$Q$12</xm:f>
            <x14:dxf>
              <fill>
                <patternFill>
                  <bgColor theme="9"/>
                </patternFill>
              </fill>
            </x14:dxf>
          </x14:cfRule>
          <x14:cfRule type="containsText" priority="9621" operator="containsText" id="{D45ADCAB-A6D2-46BD-8896-76A6B5E59740}">
            <xm:f>NOT(ISERROR(SEARCH($Q$12,AM32)))</xm:f>
            <xm:f>$Q$12</xm:f>
            <x14:dxf>
              <fill>
                <patternFill>
                  <bgColor theme="9" tint="0.59996337778862885"/>
                </patternFill>
              </fill>
            </x14:dxf>
          </x14:cfRule>
          <x14:cfRule type="containsText" priority="9615" operator="containsText" id="{2BA93C96-E7AD-4DD9-85B1-5A9C41FB7DB2}">
            <xm:f>NOT(ISERROR(SEARCH($Q$12,AM32)))</xm:f>
            <xm:f>$Q$12</xm:f>
            <x14:dxf>
              <fill>
                <patternFill>
                  <bgColor theme="9" tint="0.79998168889431442"/>
                </patternFill>
              </fill>
            </x14:dxf>
          </x14:cfRule>
          <x14:cfRule type="containsText" priority="9616" operator="containsText" id="{F5EE6AF3-51BB-40D5-A6AC-427AA8797C7E}">
            <xm:f>NOT(ISERROR(SEARCH($Q$12,AM32)))</xm:f>
            <xm:f>$Q$12</xm:f>
            <x14:dxf>
              <fill>
                <patternFill>
                  <bgColor theme="9" tint="0.39994506668294322"/>
                </patternFill>
              </fill>
            </x14:dxf>
          </x14:cfRule>
          <xm:sqref>AM32</xm:sqref>
        </x14:conditionalFormatting>
        <x14:conditionalFormatting xmlns:xm="http://schemas.microsoft.com/office/excel/2006/main">
          <x14:cfRule type="containsText" priority="9134" operator="containsText" id="{6E73472D-4BF2-4421-9B87-CB0D334AFF3A}">
            <xm:f>NOT(ISERROR(SEARCH($Q$12,AM72)))</xm:f>
            <xm:f>$Q$12</xm:f>
            <x14:dxf>
              <fill>
                <patternFill>
                  <bgColor theme="9"/>
                </patternFill>
              </fill>
            </x14:dxf>
          </x14:cfRule>
          <x14:cfRule type="containsText" priority="9136" operator="containsText" id="{6C10C024-E131-4148-8156-053EB64AB190}">
            <xm:f>NOT(ISERROR(SEARCH($Q$12,AM72)))</xm:f>
            <xm:f>$Q$12</xm:f>
            <x14:dxf>
              <fill>
                <patternFill>
                  <bgColor rgb="FFFFC000"/>
                </patternFill>
              </fill>
            </x14:dxf>
          </x14:cfRule>
          <x14:cfRule type="containsText" priority="9137" operator="containsText" id="{77590859-2B7C-48C9-9B5B-3B2F28AF46DE}">
            <xm:f>NOT(ISERROR(SEARCH($Q$12,AM72)))</xm:f>
            <xm:f>$Q$12</xm:f>
            <x14:dxf>
              <fill>
                <patternFill>
                  <bgColor rgb="FFFF0000"/>
                </patternFill>
              </fill>
            </x14:dxf>
          </x14:cfRule>
          <x14:cfRule type="containsText" priority="9127" operator="containsText" id="{1B0248A7-6B10-4E4C-98FC-B6328FE304DF}">
            <xm:f>NOT(ISERROR(SEARCH($Q$12,AM72)))</xm:f>
            <xm:f>$Q$12</xm:f>
            <x14:dxf>
              <fill>
                <patternFill>
                  <bgColor theme="9" tint="0.79998168889431442"/>
                </patternFill>
              </fill>
            </x14:dxf>
          </x14:cfRule>
          <x14:cfRule type="containsText" priority="9131" operator="containsText" id="{80DFB0F0-9BEE-4A20-A185-3EE1F6F16B1A}">
            <xm:f>NOT(ISERROR(SEARCH($Q$12,AM72)))</xm:f>
            <xm:f>$Q$12</xm:f>
            <x14:dxf>
              <fill>
                <patternFill>
                  <bgColor rgb="FFFFC000"/>
                </patternFill>
              </fill>
            </x14:dxf>
          </x14:cfRule>
          <x14:cfRule type="containsText" priority="9128" operator="containsText" id="{13F36963-8A5D-43E7-A7E0-AE799932ECF2}">
            <xm:f>NOT(ISERROR(SEARCH($Q$12,AM72)))</xm:f>
            <xm:f>$Q$12</xm:f>
            <x14:dxf>
              <fill>
                <patternFill>
                  <bgColor theme="9" tint="0.39994506668294322"/>
                </patternFill>
              </fill>
            </x14:dxf>
          </x14:cfRule>
          <x14:cfRule type="containsText" priority="9129" operator="containsText" id="{4F4A4C39-30E0-4092-A51D-E76615FE07E2}">
            <xm:f>NOT(ISERROR(SEARCH($Q$12,AM72)))</xm:f>
            <xm:f>$Q$12</xm:f>
            <x14:dxf>
              <fill>
                <patternFill>
                  <bgColor rgb="FF00B050"/>
                </patternFill>
              </fill>
            </x14:dxf>
          </x14:cfRule>
          <x14:cfRule type="containsText" priority="9130" operator="containsText" id="{D4F2DA72-AA82-4D74-A200-7E34488B82DF}">
            <xm:f>NOT(ISERROR(SEARCH($Q$12,AM72)))</xm:f>
            <xm:f>$Q$12</xm:f>
            <x14:dxf>
              <fill>
                <patternFill>
                  <bgColor rgb="FFFFFF00"/>
                </patternFill>
              </fill>
            </x14:dxf>
          </x14:cfRule>
          <x14:cfRule type="containsText" priority="9132" operator="containsText" id="{98652820-2AAC-42F4-B262-ACCBC6C4ADA2}">
            <xm:f>NOT(ISERROR(SEARCH($Q$12,AM72)))</xm:f>
            <xm:f>$Q$12</xm:f>
            <x14:dxf>
              <fill>
                <patternFill>
                  <bgColor rgb="FFFF0000"/>
                </patternFill>
              </fill>
            </x14:dxf>
          </x14:cfRule>
          <x14:cfRule type="containsText" priority="9133" operator="containsText" id="{CA43ACD1-AE0A-4120-A8EA-C62DF679CA80}">
            <xm:f>NOT(ISERROR(SEARCH($Q$12,AM72)))</xm:f>
            <xm:f>$Q$12</xm:f>
            <x14:dxf>
              <fill>
                <patternFill>
                  <bgColor theme="9" tint="0.59996337778862885"/>
                </patternFill>
              </fill>
            </x14:dxf>
          </x14:cfRule>
          <xm:sqref>AM72</xm:sqref>
        </x14:conditionalFormatting>
        <x14:conditionalFormatting xmlns:xm="http://schemas.microsoft.com/office/excel/2006/main">
          <x14:cfRule type="containsText" priority="8822" operator="containsText" id="{DF4FF9A0-6CDA-4547-B1B2-2A2085031B00}">
            <xm:f>NOT(ISERROR(SEARCH($Q$12,AM122)))</xm:f>
            <xm:f>$Q$12</xm:f>
            <x14:dxf>
              <fill>
                <patternFill>
                  <bgColor theme="9"/>
                </patternFill>
              </fill>
            </x14:dxf>
          </x14:cfRule>
          <x14:cfRule type="containsText" priority="8816" operator="containsText" id="{DF2DCCC2-87E4-4C29-89A8-CDBFD1507C96}">
            <xm:f>NOT(ISERROR(SEARCH($Q$12,AM122)))</xm:f>
            <xm:f>$Q$12</xm:f>
            <x14:dxf>
              <fill>
                <patternFill>
                  <bgColor theme="9" tint="0.39994506668294322"/>
                </patternFill>
              </fill>
            </x14:dxf>
          </x14:cfRule>
          <x14:cfRule type="containsText" priority="8815" operator="containsText" id="{7F0C4A87-C2D8-4265-927C-C17FDF61702F}">
            <xm:f>NOT(ISERROR(SEARCH($Q$12,AM122)))</xm:f>
            <xm:f>$Q$12</xm:f>
            <x14:dxf>
              <fill>
                <patternFill>
                  <bgColor theme="9" tint="0.79998168889431442"/>
                </patternFill>
              </fill>
            </x14:dxf>
          </x14:cfRule>
          <x14:cfRule type="containsText" priority="8825" operator="containsText" id="{969732F0-8BCE-49FE-B8B5-16B3CC0D03FF}">
            <xm:f>NOT(ISERROR(SEARCH($Q$12,AM122)))</xm:f>
            <xm:f>$Q$12</xm:f>
            <x14:dxf>
              <fill>
                <patternFill>
                  <bgColor rgb="FFFF0000"/>
                </patternFill>
              </fill>
            </x14:dxf>
          </x14:cfRule>
          <x14:cfRule type="containsText" priority="8824" operator="containsText" id="{F2536085-916E-425F-9796-3CCF30A3A977}">
            <xm:f>NOT(ISERROR(SEARCH($Q$12,AM122)))</xm:f>
            <xm:f>$Q$12</xm:f>
            <x14:dxf>
              <fill>
                <patternFill>
                  <bgColor rgb="FFFFC000"/>
                </patternFill>
              </fill>
            </x14:dxf>
          </x14:cfRule>
          <x14:cfRule type="containsText" priority="8821" operator="containsText" id="{E20E381C-C136-4C4F-85CF-FFC84472026C}">
            <xm:f>NOT(ISERROR(SEARCH($Q$12,AM122)))</xm:f>
            <xm:f>$Q$12</xm:f>
            <x14:dxf>
              <fill>
                <patternFill>
                  <bgColor theme="9" tint="0.59996337778862885"/>
                </patternFill>
              </fill>
            </x14:dxf>
          </x14:cfRule>
          <x14:cfRule type="containsText" priority="8820" operator="containsText" id="{8880D433-FF15-4847-8DAD-B2A79559589B}">
            <xm:f>NOT(ISERROR(SEARCH($Q$12,AM122)))</xm:f>
            <xm:f>$Q$12</xm:f>
            <x14:dxf>
              <fill>
                <patternFill>
                  <bgColor rgb="FFFF0000"/>
                </patternFill>
              </fill>
            </x14:dxf>
          </x14:cfRule>
          <x14:cfRule type="containsText" priority="8819" operator="containsText" id="{59EF7DA0-9B07-4804-810D-992B1F6754D5}">
            <xm:f>NOT(ISERROR(SEARCH($Q$12,AM122)))</xm:f>
            <xm:f>$Q$12</xm:f>
            <x14:dxf>
              <fill>
                <patternFill>
                  <bgColor rgb="FFFFC000"/>
                </patternFill>
              </fill>
            </x14:dxf>
          </x14:cfRule>
          <x14:cfRule type="containsText" priority="8818" operator="containsText" id="{92009268-6352-42B5-8AE0-D81917841075}">
            <xm:f>NOT(ISERROR(SEARCH($Q$12,AM122)))</xm:f>
            <xm:f>$Q$12</xm:f>
            <x14:dxf>
              <fill>
                <patternFill>
                  <bgColor rgb="FFFFFF00"/>
                </patternFill>
              </fill>
            </x14:dxf>
          </x14:cfRule>
          <x14:cfRule type="containsText" priority="8817" operator="containsText" id="{4921F589-251A-44E9-8EFA-7C49ED23AB23}">
            <xm:f>NOT(ISERROR(SEARCH($Q$12,AM122)))</xm:f>
            <xm:f>$Q$12</xm:f>
            <x14:dxf>
              <fill>
                <patternFill>
                  <bgColor rgb="FF00B050"/>
                </patternFill>
              </fill>
            </x14:dxf>
          </x14:cfRule>
          <xm:sqref>AM122</xm:sqref>
        </x14:conditionalFormatting>
        <x14:conditionalFormatting xmlns:xm="http://schemas.microsoft.com/office/excel/2006/main">
          <x14:cfRule type="containsText" priority="8516" operator="containsText" id="{6713A2AE-81D1-4BF6-A92D-7946741407C2}">
            <xm:f>NOT(ISERROR(SEARCH($Q$12,AM152)))</xm:f>
            <xm:f>$Q$12</xm:f>
            <x14:dxf>
              <fill>
                <patternFill>
                  <bgColor rgb="FFFFC000"/>
                </patternFill>
              </fill>
            </x14:dxf>
          </x14:cfRule>
          <x14:cfRule type="containsText" priority="8508" operator="containsText" id="{BF718BFE-6A21-43A0-B97C-15443CA527D2}">
            <xm:f>NOT(ISERROR(SEARCH($Q$12,AM152)))</xm:f>
            <xm:f>$Q$12</xm:f>
            <x14:dxf>
              <fill>
                <patternFill>
                  <bgColor theme="9" tint="0.39994506668294322"/>
                </patternFill>
              </fill>
            </x14:dxf>
          </x14:cfRule>
          <x14:cfRule type="containsText" priority="8509" operator="containsText" id="{725CA3BB-593D-4251-A6ED-1E446B2C8327}">
            <xm:f>NOT(ISERROR(SEARCH($Q$12,AM152)))</xm:f>
            <xm:f>$Q$12</xm:f>
            <x14:dxf>
              <fill>
                <patternFill>
                  <bgColor rgb="FF00B050"/>
                </patternFill>
              </fill>
            </x14:dxf>
          </x14:cfRule>
          <x14:cfRule type="containsText" priority="8511" operator="containsText" id="{B8B9B00E-D64A-4058-BD88-329084FBBC80}">
            <xm:f>NOT(ISERROR(SEARCH($Q$12,AM152)))</xm:f>
            <xm:f>$Q$12</xm:f>
            <x14:dxf>
              <fill>
                <patternFill>
                  <bgColor rgb="FFFFC000"/>
                </patternFill>
              </fill>
            </x14:dxf>
          </x14:cfRule>
          <x14:cfRule type="containsText" priority="8512" operator="containsText" id="{FD5381D9-3151-408D-B3B3-20114FB4281C}">
            <xm:f>NOT(ISERROR(SEARCH($Q$12,AM152)))</xm:f>
            <xm:f>$Q$12</xm:f>
            <x14:dxf>
              <fill>
                <patternFill>
                  <bgColor rgb="FFFF0000"/>
                </patternFill>
              </fill>
            </x14:dxf>
          </x14:cfRule>
          <x14:cfRule type="containsText" priority="8513" operator="containsText" id="{30EBDB05-BE25-413D-A0B0-71CB82A968FB}">
            <xm:f>NOT(ISERROR(SEARCH($Q$12,AM152)))</xm:f>
            <xm:f>$Q$12</xm:f>
            <x14:dxf>
              <fill>
                <patternFill>
                  <bgColor theme="9" tint="0.59996337778862885"/>
                </patternFill>
              </fill>
            </x14:dxf>
          </x14:cfRule>
          <x14:cfRule type="containsText" priority="8514" operator="containsText" id="{A7F2FC00-9366-46AF-BA78-B58CBE6B423A}">
            <xm:f>NOT(ISERROR(SEARCH($Q$12,AM152)))</xm:f>
            <xm:f>$Q$12</xm:f>
            <x14:dxf>
              <fill>
                <patternFill>
                  <bgColor theme="9"/>
                </patternFill>
              </fill>
            </x14:dxf>
          </x14:cfRule>
          <x14:cfRule type="containsText" priority="8510" operator="containsText" id="{FDCD9EEA-16A9-48D0-AE31-CBF873C5B464}">
            <xm:f>NOT(ISERROR(SEARCH($Q$12,AM152)))</xm:f>
            <xm:f>$Q$12</xm:f>
            <x14:dxf>
              <fill>
                <patternFill>
                  <bgColor rgb="FFFFFF00"/>
                </patternFill>
              </fill>
            </x14:dxf>
          </x14:cfRule>
          <x14:cfRule type="containsText" priority="8507" operator="containsText" id="{D46E6AA3-DB62-4B4E-9072-381804097D5C}">
            <xm:f>NOT(ISERROR(SEARCH($Q$12,AM152)))</xm:f>
            <xm:f>$Q$12</xm:f>
            <x14:dxf>
              <fill>
                <patternFill>
                  <bgColor theme="9" tint="0.79998168889431442"/>
                </patternFill>
              </fill>
            </x14:dxf>
          </x14:cfRule>
          <x14:cfRule type="containsText" priority="8517" operator="containsText" id="{E3F0808A-8B40-4488-B3B5-3142C187001D}">
            <xm:f>NOT(ISERROR(SEARCH($Q$12,AM152)))</xm:f>
            <xm:f>$Q$12</xm:f>
            <x14:dxf>
              <fill>
                <patternFill>
                  <bgColor rgb="FFFF0000"/>
                </patternFill>
              </fill>
            </x14:dxf>
          </x14:cfRule>
          <xm:sqref>AM152</xm:sqref>
        </x14:conditionalFormatting>
        <x14:conditionalFormatting xmlns:xm="http://schemas.microsoft.com/office/excel/2006/main">
          <x14:cfRule type="containsText" priority="8209" operator="containsText" id="{71A59FF4-57B0-42FF-9954-CFFAD4F4696F}">
            <xm:f>NOT(ISERROR(SEARCH($Q$12,AM182)))</xm:f>
            <xm:f>$Q$12</xm:f>
            <x14:dxf>
              <fill>
                <patternFill>
                  <bgColor rgb="FFFF0000"/>
                </patternFill>
              </fill>
            </x14:dxf>
          </x14:cfRule>
          <x14:cfRule type="containsText" priority="8203" operator="containsText" id="{5D26D0AD-1A3D-413F-AA1E-4E89476E32B2}">
            <xm:f>NOT(ISERROR(SEARCH($Q$12,AM182)))</xm:f>
            <xm:f>$Q$12</xm:f>
            <x14:dxf>
              <fill>
                <patternFill>
                  <bgColor rgb="FFFFC000"/>
                </patternFill>
              </fill>
            </x14:dxf>
          </x14:cfRule>
          <x14:cfRule type="containsText" priority="8201" operator="containsText" id="{D3BDEAA6-1923-45A2-9E20-96EFBABEE5BE}">
            <xm:f>NOT(ISERROR(SEARCH($Q$12,AM182)))</xm:f>
            <xm:f>$Q$12</xm:f>
            <x14:dxf>
              <fill>
                <patternFill>
                  <bgColor rgb="FF00B050"/>
                </patternFill>
              </fill>
            </x14:dxf>
          </x14:cfRule>
          <x14:cfRule type="containsText" priority="8200" operator="containsText" id="{CD6DBD96-A7E0-422B-A1B6-A8E06F80B4D7}">
            <xm:f>NOT(ISERROR(SEARCH($Q$12,AM182)))</xm:f>
            <xm:f>$Q$12</xm:f>
            <x14:dxf>
              <fill>
                <patternFill>
                  <bgColor theme="9" tint="0.39994506668294322"/>
                </patternFill>
              </fill>
            </x14:dxf>
          </x14:cfRule>
          <x14:cfRule type="containsText" priority="8199" operator="containsText" id="{3EB4A31D-A190-4497-BCF7-5D7F05435CB1}">
            <xm:f>NOT(ISERROR(SEARCH($Q$12,AM182)))</xm:f>
            <xm:f>$Q$12</xm:f>
            <x14:dxf>
              <fill>
                <patternFill>
                  <bgColor theme="9" tint="0.79998168889431442"/>
                </patternFill>
              </fill>
            </x14:dxf>
          </x14:cfRule>
          <x14:cfRule type="containsText" priority="8208" operator="containsText" id="{A6AB793C-75E8-47C2-BFB6-AA2D38707DA9}">
            <xm:f>NOT(ISERROR(SEARCH($Q$12,AM182)))</xm:f>
            <xm:f>$Q$12</xm:f>
            <x14:dxf>
              <fill>
                <patternFill>
                  <bgColor rgb="FFFFC000"/>
                </patternFill>
              </fill>
            </x14:dxf>
          </x14:cfRule>
          <x14:cfRule type="containsText" priority="8206" operator="containsText" id="{89DABD67-5D83-4657-AA33-5514BC884B3B}">
            <xm:f>NOT(ISERROR(SEARCH($Q$12,AM182)))</xm:f>
            <xm:f>$Q$12</xm:f>
            <x14:dxf>
              <fill>
                <patternFill>
                  <bgColor theme="9"/>
                </patternFill>
              </fill>
            </x14:dxf>
          </x14:cfRule>
          <x14:cfRule type="containsText" priority="8205" operator="containsText" id="{D084D42D-7C93-45DD-907F-E37B5813F31B}">
            <xm:f>NOT(ISERROR(SEARCH($Q$12,AM182)))</xm:f>
            <xm:f>$Q$12</xm:f>
            <x14:dxf>
              <fill>
                <patternFill>
                  <bgColor theme="9" tint="0.59996337778862885"/>
                </patternFill>
              </fill>
            </x14:dxf>
          </x14:cfRule>
          <x14:cfRule type="containsText" priority="8202" operator="containsText" id="{ECF31B31-ECDD-4FBA-8D94-1DC43B241915}">
            <xm:f>NOT(ISERROR(SEARCH($Q$12,AM182)))</xm:f>
            <xm:f>$Q$12</xm:f>
            <x14:dxf>
              <fill>
                <patternFill>
                  <bgColor rgb="FFFFFF00"/>
                </patternFill>
              </fill>
            </x14:dxf>
          </x14:cfRule>
          <x14:cfRule type="containsText" priority="8204" operator="containsText" id="{9A8211F6-B351-4D38-98D9-87A65E0FAEAA}">
            <xm:f>NOT(ISERROR(SEARCH($Q$12,AM182)))</xm:f>
            <xm:f>$Q$12</xm:f>
            <x14:dxf>
              <fill>
                <patternFill>
                  <bgColor rgb="FFFF0000"/>
                </patternFill>
              </fill>
            </x14:dxf>
          </x14:cfRule>
          <xm:sqref>AM182</xm:sqref>
        </x14:conditionalFormatting>
        <x14:conditionalFormatting xmlns:xm="http://schemas.microsoft.com/office/excel/2006/main">
          <x14:cfRule type="containsText" priority="7270" operator="containsText" id="{85CD1733-BCCB-41C7-8917-228175E5B3CC}">
            <xm:f>NOT(ISERROR(SEARCH($Q$12,AM212)))</xm:f>
            <xm:f>$Q$12</xm:f>
            <x14:dxf>
              <fill>
                <patternFill>
                  <bgColor rgb="FFFFC000"/>
                </patternFill>
              </fill>
            </x14:dxf>
          </x14:cfRule>
          <x14:cfRule type="containsText" priority="7271" operator="containsText" id="{C786381C-CB9C-4B63-828F-CE65A375E5EC}">
            <xm:f>NOT(ISERROR(SEARCH($Q$12,AM212)))</xm:f>
            <xm:f>$Q$12</xm:f>
            <x14:dxf>
              <fill>
                <patternFill>
                  <bgColor rgb="FFFF0000"/>
                </patternFill>
              </fill>
            </x14:dxf>
          </x14:cfRule>
          <x14:cfRule type="containsText" priority="7266" operator="containsText" id="{84760D61-2257-4965-9260-EA5DBA48AECC}">
            <xm:f>NOT(ISERROR(SEARCH($Q$12,AM212)))</xm:f>
            <xm:f>$Q$12</xm:f>
            <x14:dxf>
              <fill>
                <patternFill>
                  <bgColor rgb="FFFF0000"/>
                </patternFill>
              </fill>
            </x14:dxf>
          </x14:cfRule>
          <x14:cfRule type="containsText" priority="7265" operator="containsText" id="{16F4315F-1281-4776-B48B-F00892344DA9}">
            <xm:f>NOT(ISERROR(SEARCH($Q$12,AM212)))</xm:f>
            <xm:f>$Q$12</xm:f>
            <x14:dxf>
              <fill>
                <patternFill>
                  <bgColor rgb="FFFFC000"/>
                </patternFill>
              </fill>
            </x14:dxf>
          </x14:cfRule>
          <x14:cfRule type="containsText" priority="7263" operator="containsText" id="{4C78A4F6-BA98-4E4C-BD06-48CA308574AE}">
            <xm:f>NOT(ISERROR(SEARCH($Q$12,AM212)))</xm:f>
            <xm:f>$Q$12</xm:f>
            <x14:dxf>
              <fill>
                <patternFill>
                  <bgColor rgb="FF00B050"/>
                </patternFill>
              </fill>
            </x14:dxf>
          </x14:cfRule>
          <x14:cfRule type="containsText" priority="7262" operator="containsText" id="{80B86B19-20AE-48F5-B210-F1C78F7B6FA6}">
            <xm:f>NOT(ISERROR(SEARCH($Q$12,AM212)))</xm:f>
            <xm:f>$Q$12</xm:f>
            <x14:dxf>
              <fill>
                <patternFill>
                  <bgColor theme="9" tint="0.39994506668294322"/>
                </patternFill>
              </fill>
            </x14:dxf>
          </x14:cfRule>
          <x14:cfRule type="containsText" priority="7261" operator="containsText" id="{271FDBEA-DE08-43F3-9E1B-02B818FAB2E2}">
            <xm:f>NOT(ISERROR(SEARCH($Q$12,AM212)))</xm:f>
            <xm:f>$Q$12</xm:f>
            <x14:dxf>
              <fill>
                <patternFill>
                  <bgColor theme="9" tint="0.79998168889431442"/>
                </patternFill>
              </fill>
            </x14:dxf>
          </x14:cfRule>
          <x14:cfRule type="containsText" priority="7268" operator="containsText" id="{3F89D860-62D2-40F3-9B56-5C123B63021A}">
            <xm:f>NOT(ISERROR(SEARCH($Q$12,AM212)))</xm:f>
            <xm:f>$Q$12</xm:f>
            <x14:dxf>
              <fill>
                <patternFill>
                  <bgColor theme="9"/>
                </patternFill>
              </fill>
            </x14:dxf>
          </x14:cfRule>
          <x14:cfRule type="containsText" priority="7267" operator="containsText" id="{D4055B2B-2F34-4A1D-8A98-9D34D48CBBCB}">
            <xm:f>NOT(ISERROR(SEARCH($Q$12,AM212)))</xm:f>
            <xm:f>$Q$12</xm:f>
            <x14:dxf>
              <fill>
                <patternFill>
                  <bgColor theme="9" tint="0.59996337778862885"/>
                </patternFill>
              </fill>
            </x14:dxf>
          </x14:cfRule>
          <x14:cfRule type="containsText" priority="7264" operator="containsText" id="{0FBD03D5-1111-4795-8D7B-F6D73724503A}">
            <xm:f>NOT(ISERROR(SEARCH($Q$12,AM212)))</xm:f>
            <xm:f>$Q$12</xm:f>
            <x14:dxf>
              <fill>
                <patternFill>
                  <bgColor rgb="FFFFFF00"/>
                </patternFill>
              </fill>
            </x14:dxf>
          </x14:cfRule>
          <xm:sqref>AM212</xm:sqref>
        </x14:conditionalFormatting>
        <x14:conditionalFormatting xmlns:xm="http://schemas.microsoft.com/office/excel/2006/main">
          <x14:cfRule type="containsText" priority="6730" operator="containsText" id="{5E649DC4-4261-4EF3-8E44-3990725018FA}">
            <xm:f>NOT(ISERROR(SEARCH($Q$12,AM322)))</xm:f>
            <xm:f>$Q$12</xm:f>
            <x14:dxf>
              <fill>
                <patternFill>
                  <bgColor rgb="FFFFFF00"/>
                </patternFill>
              </fill>
            </x14:dxf>
          </x14:cfRule>
          <x14:cfRule type="containsText" priority="6732" operator="containsText" id="{957B34A3-2C3B-405F-B71E-616F9856FE93}">
            <xm:f>NOT(ISERROR(SEARCH($Q$12,AM322)))</xm:f>
            <xm:f>$Q$12</xm:f>
            <x14:dxf>
              <fill>
                <patternFill>
                  <bgColor rgb="FFFF0000"/>
                </patternFill>
              </fill>
            </x14:dxf>
          </x14:cfRule>
          <x14:cfRule type="containsText" priority="6727" operator="containsText" id="{839A4C12-8753-4FAD-91DE-1A2226695375}">
            <xm:f>NOT(ISERROR(SEARCH($Q$12,AM322)))</xm:f>
            <xm:f>$Q$12</xm:f>
            <x14:dxf>
              <fill>
                <patternFill>
                  <bgColor theme="9" tint="0.79998168889431442"/>
                </patternFill>
              </fill>
            </x14:dxf>
          </x14:cfRule>
          <x14:cfRule type="containsText" priority="6728" operator="containsText" id="{660952E6-5333-41A7-ADDB-127292C2235B}">
            <xm:f>NOT(ISERROR(SEARCH($Q$12,AM322)))</xm:f>
            <xm:f>$Q$12</xm:f>
            <x14:dxf>
              <fill>
                <patternFill>
                  <bgColor theme="9" tint="0.39994506668294322"/>
                </patternFill>
              </fill>
            </x14:dxf>
          </x14:cfRule>
          <x14:cfRule type="containsText" priority="6729" operator="containsText" id="{1F012695-5610-4D2B-9446-CB984302BBAA}">
            <xm:f>NOT(ISERROR(SEARCH($Q$12,AM322)))</xm:f>
            <xm:f>$Q$12</xm:f>
            <x14:dxf>
              <fill>
                <patternFill>
                  <bgColor rgb="FF00B050"/>
                </patternFill>
              </fill>
            </x14:dxf>
          </x14:cfRule>
          <x14:cfRule type="containsText" priority="6737" operator="containsText" id="{63692D19-197D-4973-84DD-F332BBD4247D}">
            <xm:f>NOT(ISERROR(SEARCH($Q$12,AM322)))</xm:f>
            <xm:f>$Q$12</xm:f>
            <x14:dxf>
              <fill>
                <patternFill>
                  <bgColor rgb="FFFF0000"/>
                </patternFill>
              </fill>
            </x14:dxf>
          </x14:cfRule>
          <x14:cfRule type="containsText" priority="6736" operator="containsText" id="{96FF4DDB-AB04-44C6-B6B6-FBA3838F1A23}">
            <xm:f>NOT(ISERROR(SEARCH($Q$12,AM322)))</xm:f>
            <xm:f>$Q$12</xm:f>
            <x14:dxf>
              <fill>
                <patternFill>
                  <bgColor rgb="FFFFC000"/>
                </patternFill>
              </fill>
            </x14:dxf>
          </x14:cfRule>
          <x14:cfRule type="containsText" priority="6734" operator="containsText" id="{9A9E7A95-5E0C-464D-8F49-E8954BF6DC39}">
            <xm:f>NOT(ISERROR(SEARCH($Q$12,AM322)))</xm:f>
            <xm:f>$Q$12</xm:f>
            <x14:dxf>
              <fill>
                <patternFill>
                  <bgColor theme="9"/>
                </patternFill>
              </fill>
            </x14:dxf>
          </x14:cfRule>
          <x14:cfRule type="containsText" priority="6731" operator="containsText" id="{7FB8FD97-3756-4CD5-A4EF-E859274229F2}">
            <xm:f>NOT(ISERROR(SEARCH($Q$12,AM322)))</xm:f>
            <xm:f>$Q$12</xm:f>
            <x14:dxf>
              <fill>
                <patternFill>
                  <bgColor rgb="FFFFC000"/>
                </patternFill>
              </fill>
            </x14:dxf>
          </x14:cfRule>
          <x14:cfRule type="containsText" priority="6733" operator="containsText" id="{CC6E4A92-5269-4538-A470-A37265D745F4}">
            <xm:f>NOT(ISERROR(SEARCH($Q$12,AM322)))</xm:f>
            <xm:f>$Q$12</xm:f>
            <x14:dxf>
              <fill>
                <patternFill>
                  <bgColor theme="9" tint="0.59996337778862885"/>
                </patternFill>
              </fill>
            </x14:dxf>
          </x14:cfRule>
          <xm:sqref>AM322</xm:sqref>
        </x14:conditionalFormatting>
        <x14:conditionalFormatting xmlns:xm="http://schemas.microsoft.com/office/excel/2006/main">
          <x14:cfRule type="containsText" priority="6333" operator="containsText" id="{E63480C1-8291-46F6-BF59-68AC314AB693}">
            <xm:f>NOT(ISERROR(SEARCH($Q$12,AM362)))</xm:f>
            <xm:f>$Q$12</xm:f>
            <x14:dxf>
              <fill>
                <patternFill>
                  <bgColor rgb="FFFFC000"/>
                </patternFill>
              </fill>
            </x14:dxf>
          </x14:cfRule>
          <x14:cfRule type="containsText" priority="6334" operator="containsText" id="{34742A66-3108-4D5B-9BDA-93BA818285EF}">
            <xm:f>NOT(ISERROR(SEARCH($Q$12,AM362)))</xm:f>
            <xm:f>$Q$12</xm:f>
            <x14:dxf>
              <fill>
                <patternFill>
                  <bgColor rgb="FFFF0000"/>
                </patternFill>
              </fill>
            </x14:dxf>
          </x14:cfRule>
          <x14:cfRule type="containsText" priority="6335" operator="containsText" id="{008E3971-927E-40FF-8334-8158FA25A303}">
            <xm:f>NOT(ISERROR(SEARCH($Q$12,AM362)))</xm:f>
            <xm:f>$Q$12</xm:f>
            <x14:dxf>
              <fill>
                <patternFill>
                  <bgColor theme="9" tint="0.59996337778862885"/>
                </patternFill>
              </fill>
            </x14:dxf>
          </x14:cfRule>
          <x14:cfRule type="containsText" priority="6336" operator="containsText" id="{804F61ED-58ED-4BA8-8877-CD14821D9FC6}">
            <xm:f>NOT(ISERROR(SEARCH($Q$12,AM362)))</xm:f>
            <xm:f>$Q$12</xm:f>
            <x14:dxf>
              <fill>
                <patternFill>
                  <bgColor theme="9"/>
                </patternFill>
              </fill>
            </x14:dxf>
          </x14:cfRule>
          <x14:cfRule type="containsText" priority="6338" operator="containsText" id="{23ED46A4-D6E1-40F0-A452-B19C8AF7ED56}">
            <xm:f>NOT(ISERROR(SEARCH($Q$12,AM362)))</xm:f>
            <xm:f>$Q$12</xm:f>
            <x14:dxf>
              <fill>
                <patternFill>
                  <bgColor rgb="FFFFC000"/>
                </patternFill>
              </fill>
            </x14:dxf>
          </x14:cfRule>
          <x14:cfRule type="containsText" priority="6339" operator="containsText" id="{073C0C57-9D8B-46DF-B698-FABD7835F78A}">
            <xm:f>NOT(ISERROR(SEARCH($Q$12,AM362)))</xm:f>
            <xm:f>$Q$12</xm:f>
            <x14:dxf>
              <fill>
                <patternFill>
                  <bgColor rgb="FFFF0000"/>
                </patternFill>
              </fill>
            </x14:dxf>
          </x14:cfRule>
          <x14:cfRule type="containsText" priority="6331" operator="containsText" id="{F03DF291-D787-47FF-AC48-B3B93FF84411}">
            <xm:f>NOT(ISERROR(SEARCH($Q$12,AM362)))</xm:f>
            <xm:f>$Q$12</xm:f>
            <x14:dxf>
              <fill>
                <patternFill>
                  <bgColor rgb="FF00B050"/>
                </patternFill>
              </fill>
            </x14:dxf>
          </x14:cfRule>
          <x14:cfRule type="containsText" priority="6332" operator="containsText" id="{2C0445BA-DA0B-47AC-87A3-5D2F55858A3F}">
            <xm:f>NOT(ISERROR(SEARCH($Q$12,AM362)))</xm:f>
            <xm:f>$Q$12</xm:f>
            <x14:dxf>
              <fill>
                <patternFill>
                  <bgColor rgb="FFFFFF00"/>
                </patternFill>
              </fill>
            </x14:dxf>
          </x14:cfRule>
          <x14:cfRule type="containsText" priority="6329" operator="containsText" id="{8F7D1AF7-906F-4E47-B0AB-5A4194D8471F}">
            <xm:f>NOT(ISERROR(SEARCH($Q$12,AM362)))</xm:f>
            <xm:f>$Q$12</xm:f>
            <x14:dxf>
              <fill>
                <patternFill>
                  <bgColor theme="9" tint="0.79998168889431442"/>
                </patternFill>
              </fill>
            </x14:dxf>
          </x14:cfRule>
          <x14:cfRule type="containsText" priority="6330" operator="containsText" id="{5B6BFD86-A20C-4E88-A35C-94F27D5A7870}">
            <xm:f>NOT(ISERROR(SEARCH($Q$12,AM362)))</xm:f>
            <xm:f>$Q$12</xm:f>
            <x14:dxf>
              <fill>
                <patternFill>
                  <bgColor theme="9" tint="0.39994506668294322"/>
                </patternFill>
              </fill>
            </x14:dxf>
          </x14:cfRule>
          <xm:sqref>AM362</xm:sqref>
        </x14:conditionalFormatting>
        <x14:conditionalFormatting xmlns:xm="http://schemas.microsoft.com/office/excel/2006/main">
          <x14:cfRule type="containsText" priority="6121" operator="containsText" id="{293F1234-E167-4BC4-AEC5-A76BFCE4AAE5}">
            <xm:f>NOT(ISERROR(SEARCH($Q$12,AM402)))</xm:f>
            <xm:f>$Q$12</xm:f>
            <x14:dxf>
              <fill>
                <patternFill>
                  <bgColor rgb="FFFF0000"/>
                </patternFill>
              </fill>
            </x14:dxf>
          </x14:cfRule>
          <x14:cfRule type="containsText" priority="6120" operator="containsText" id="{C2C631DF-54F9-4A0E-883A-3EE22AB518AF}">
            <xm:f>NOT(ISERROR(SEARCH($Q$12,AM402)))</xm:f>
            <xm:f>$Q$12</xm:f>
            <x14:dxf>
              <fill>
                <patternFill>
                  <bgColor rgb="FFFFC000"/>
                </patternFill>
              </fill>
            </x14:dxf>
          </x14:cfRule>
          <x14:cfRule type="containsText" priority="6118" operator="containsText" id="{95C0D16E-C149-48A4-B5C3-6C4CC6FCFF35}">
            <xm:f>NOT(ISERROR(SEARCH($Q$12,AM402)))</xm:f>
            <xm:f>$Q$12</xm:f>
            <x14:dxf>
              <fill>
                <patternFill>
                  <bgColor theme="9"/>
                </patternFill>
              </fill>
            </x14:dxf>
          </x14:cfRule>
          <x14:cfRule type="containsText" priority="6117" operator="containsText" id="{158BAB06-913F-4480-8834-1E1379B09A3B}">
            <xm:f>NOT(ISERROR(SEARCH($Q$12,AM402)))</xm:f>
            <xm:f>$Q$12</xm:f>
            <x14:dxf>
              <fill>
                <patternFill>
                  <bgColor theme="9" tint="0.59996337778862885"/>
                </patternFill>
              </fill>
            </x14:dxf>
          </x14:cfRule>
          <x14:cfRule type="containsText" priority="6116" operator="containsText" id="{67DA93E9-AE8E-47E9-BF48-2C3A6D3438BB}">
            <xm:f>NOT(ISERROR(SEARCH($Q$12,AM402)))</xm:f>
            <xm:f>$Q$12</xm:f>
            <x14:dxf>
              <fill>
                <patternFill>
                  <bgColor rgb="FFFF0000"/>
                </patternFill>
              </fill>
            </x14:dxf>
          </x14:cfRule>
          <x14:cfRule type="containsText" priority="6115" operator="containsText" id="{13ACF0F0-29E1-4E4C-B83D-1EFDFE8F2108}">
            <xm:f>NOT(ISERROR(SEARCH($Q$12,AM402)))</xm:f>
            <xm:f>$Q$12</xm:f>
            <x14:dxf>
              <fill>
                <patternFill>
                  <bgColor rgb="FFFFC000"/>
                </patternFill>
              </fill>
            </x14:dxf>
          </x14:cfRule>
          <x14:cfRule type="containsText" priority="6114" operator="containsText" id="{9AA1C06B-54B8-40C6-B9B3-B46DC6657CDB}">
            <xm:f>NOT(ISERROR(SEARCH($Q$12,AM402)))</xm:f>
            <xm:f>$Q$12</xm:f>
            <x14:dxf>
              <fill>
                <patternFill>
                  <bgColor rgb="FFFFFF00"/>
                </patternFill>
              </fill>
            </x14:dxf>
          </x14:cfRule>
          <x14:cfRule type="containsText" priority="6113" operator="containsText" id="{52B47C2F-A14E-4105-95A1-D164816A9458}">
            <xm:f>NOT(ISERROR(SEARCH($Q$12,AM402)))</xm:f>
            <xm:f>$Q$12</xm:f>
            <x14:dxf>
              <fill>
                <patternFill>
                  <bgColor rgb="FF00B050"/>
                </patternFill>
              </fill>
            </x14:dxf>
          </x14:cfRule>
          <x14:cfRule type="containsText" priority="6112" operator="containsText" id="{BDD53AFD-618F-44E1-80DA-C9B8E1079A26}">
            <xm:f>NOT(ISERROR(SEARCH($Q$12,AM402)))</xm:f>
            <xm:f>$Q$12</xm:f>
            <x14:dxf>
              <fill>
                <patternFill>
                  <bgColor theme="9" tint="0.39994506668294322"/>
                </patternFill>
              </fill>
            </x14:dxf>
          </x14:cfRule>
          <x14:cfRule type="containsText" priority="6111" operator="containsText" id="{0D3B97D4-22E6-4DC2-B264-BCEE422A0313}">
            <xm:f>NOT(ISERROR(SEARCH($Q$12,AM402)))</xm:f>
            <xm:f>$Q$12</xm:f>
            <x14:dxf>
              <fill>
                <patternFill>
                  <bgColor theme="9" tint="0.79998168889431442"/>
                </patternFill>
              </fill>
            </x14:dxf>
          </x14:cfRule>
          <xm:sqref>AM402</xm:sqref>
        </x14:conditionalFormatting>
        <x14:conditionalFormatting xmlns:xm="http://schemas.microsoft.com/office/excel/2006/main">
          <x14:cfRule type="containsText" priority="5895" operator="containsText" id="{9D268CCA-7FEF-4D70-81FA-89F164282651}">
            <xm:f>NOT(ISERROR(SEARCH($Q$12,AM422)))</xm:f>
            <xm:f>$Q$12</xm:f>
            <x14:dxf>
              <fill>
                <patternFill>
                  <bgColor rgb="FF00B050"/>
                </patternFill>
              </fill>
            </x14:dxf>
          </x14:cfRule>
          <x14:cfRule type="containsText" priority="5894" operator="containsText" id="{189F7BA3-C6D9-4202-A1F1-EE422EABA4CF}">
            <xm:f>NOT(ISERROR(SEARCH($Q$12,AM422)))</xm:f>
            <xm:f>$Q$12</xm:f>
            <x14:dxf>
              <fill>
                <patternFill>
                  <bgColor theme="9" tint="0.39994506668294322"/>
                </patternFill>
              </fill>
            </x14:dxf>
          </x14:cfRule>
          <x14:cfRule type="containsText" priority="5893" operator="containsText" id="{12DC9B08-6252-48B6-9E6C-235E267F0632}">
            <xm:f>NOT(ISERROR(SEARCH($Q$12,AM422)))</xm:f>
            <xm:f>$Q$12</xm:f>
            <x14:dxf>
              <fill>
                <patternFill>
                  <bgColor theme="9" tint="0.79998168889431442"/>
                </patternFill>
              </fill>
            </x14:dxf>
          </x14:cfRule>
          <x14:cfRule type="containsText" priority="5902" operator="containsText" id="{296EA44E-8FD0-45C3-B280-184F16D43529}">
            <xm:f>NOT(ISERROR(SEARCH($Q$12,AM422)))</xm:f>
            <xm:f>$Q$12</xm:f>
            <x14:dxf>
              <fill>
                <patternFill>
                  <bgColor rgb="FFFFC000"/>
                </patternFill>
              </fill>
            </x14:dxf>
          </x14:cfRule>
          <x14:cfRule type="containsText" priority="5900" operator="containsText" id="{DDC3DC9F-207C-4723-A884-2A71C2EDC7D1}">
            <xm:f>NOT(ISERROR(SEARCH($Q$12,AM422)))</xm:f>
            <xm:f>$Q$12</xm:f>
            <x14:dxf>
              <fill>
                <patternFill>
                  <bgColor theme="9"/>
                </patternFill>
              </fill>
            </x14:dxf>
          </x14:cfRule>
          <x14:cfRule type="containsText" priority="5897" operator="containsText" id="{8511A003-84E7-434D-9FAD-5224B091DC63}">
            <xm:f>NOT(ISERROR(SEARCH($Q$12,AM422)))</xm:f>
            <xm:f>$Q$12</xm:f>
            <x14:dxf>
              <fill>
                <patternFill>
                  <bgColor rgb="FFFFC000"/>
                </patternFill>
              </fill>
            </x14:dxf>
          </x14:cfRule>
          <x14:cfRule type="containsText" priority="5896" operator="containsText" id="{6CA2FD1A-0A02-48D2-9EC0-2196B619AD97}">
            <xm:f>NOT(ISERROR(SEARCH($Q$12,AM422)))</xm:f>
            <xm:f>$Q$12</xm:f>
            <x14:dxf>
              <fill>
                <patternFill>
                  <bgColor rgb="FFFFFF00"/>
                </patternFill>
              </fill>
            </x14:dxf>
          </x14:cfRule>
          <x14:cfRule type="containsText" priority="5898" operator="containsText" id="{51C81DB0-B849-4CE6-B68D-E973144319E3}">
            <xm:f>NOT(ISERROR(SEARCH($Q$12,AM422)))</xm:f>
            <xm:f>$Q$12</xm:f>
            <x14:dxf>
              <fill>
                <patternFill>
                  <bgColor rgb="FFFF0000"/>
                </patternFill>
              </fill>
            </x14:dxf>
          </x14:cfRule>
          <x14:cfRule type="containsText" priority="5899" operator="containsText" id="{9D828019-0FB5-4D0E-944D-0A332EF00F32}">
            <xm:f>NOT(ISERROR(SEARCH($Q$12,AM422)))</xm:f>
            <xm:f>$Q$12</xm:f>
            <x14:dxf>
              <fill>
                <patternFill>
                  <bgColor theme="9" tint="0.59996337778862885"/>
                </patternFill>
              </fill>
            </x14:dxf>
          </x14:cfRule>
          <x14:cfRule type="containsText" priority="5903" operator="containsText" id="{8365ECA7-E30F-4C94-8146-F51D4A68828B}">
            <xm:f>NOT(ISERROR(SEARCH($Q$12,AM422)))</xm:f>
            <xm:f>$Q$12</xm:f>
            <x14:dxf>
              <fill>
                <patternFill>
                  <bgColor rgb="FFFF0000"/>
                </patternFill>
              </fill>
            </x14:dxf>
          </x14:cfRule>
          <xm:sqref>AM422</xm:sqref>
        </x14:conditionalFormatting>
        <x14:conditionalFormatting xmlns:xm="http://schemas.microsoft.com/office/excel/2006/main">
          <x14:cfRule type="containsText" priority="4859" operator="containsText" id="{3528EDD7-A40D-446D-96E8-16857AF8C774}">
            <xm:f>NOT(ISERROR(SEARCH($Q$12,AM532)))</xm:f>
            <xm:f>$Q$12</xm:f>
            <x14:dxf>
              <fill>
                <patternFill>
                  <bgColor theme="9" tint="0.79998168889431442"/>
                </patternFill>
              </fill>
            </x14:dxf>
          </x14:cfRule>
          <x14:cfRule type="containsText" priority="4869" operator="containsText" id="{7F165D14-4F4F-41CF-AC78-8C4D5A014621}">
            <xm:f>NOT(ISERROR(SEARCH($Q$12,AM532)))</xm:f>
            <xm:f>$Q$12</xm:f>
            <x14:dxf>
              <fill>
                <patternFill>
                  <bgColor rgb="FFFF0000"/>
                </patternFill>
              </fill>
            </x14:dxf>
          </x14:cfRule>
          <x14:cfRule type="containsText" priority="4868" operator="containsText" id="{5529F9AE-A587-4720-A68D-E1F9B0778E68}">
            <xm:f>NOT(ISERROR(SEARCH($Q$12,AM532)))</xm:f>
            <xm:f>$Q$12</xm:f>
            <x14:dxf>
              <fill>
                <patternFill>
                  <bgColor rgb="FFFFC000"/>
                </patternFill>
              </fill>
            </x14:dxf>
          </x14:cfRule>
          <x14:cfRule type="containsText" priority="4861" operator="containsText" id="{3E38B311-2B6D-47FE-95A5-B075C9627434}">
            <xm:f>NOT(ISERROR(SEARCH($Q$12,AM532)))</xm:f>
            <xm:f>$Q$12</xm:f>
            <x14:dxf>
              <fill>
                <patternFill>
                  <bgColor rgb="FF00B050"/>
                </patternFill>
              </fill>
            </x14:dxf>
          </x14:cfRule>
          <x14:cfRule type="containsText" priority="4864" operator="containsText" id="{42D2702F-A651-4AB2-9AC1-039A689F2340}">
            <xm:f>NOT(ISERROR(SEARCH($Q$12,AM532)))</xm:f>
            <xm:f>$Q$12</xm:f>
            <x14:dxf>
              <fill>
                <patternFill>
                  <bgColor rgb="FFFF0000"/>
                </patternFill>
              </fill>
            </x14:dxf>
          </x14:cfRule>
          <x14:cfRule type="containsText" priority="4863" operator="containsText" id="{6F5D41C5-3B54-4006-BDA3-E4B4FDFFF3D9}">
            <xm:f>NOT(ISERROR(SEARCH($Q$12,AM532)))</xm:f>
            <xm:f>$Q$12</xm:f>
            <x14:dxf>
              <fill>
                <patternFill>
                  <bgColor rgb="FFFFC000"/>
                </patternFill>
              </fill>
            </x14:dxf>
          </x14:cfRule>
          <x14:cfRule type="containsText" priority="4865" operator="containsText" id="{A0136409-55AC-4593-B9E4-42129DE6609E}">
            <xm:f>NOT(ISERROR(SEARCH($Q$12,AM532)))</xm:f>
            <xm:f>$Q$12</xm:f>
            <x14:dxf>
              <fill>
                <patternFill>
                  <bgColor theme="9" tint="0.59996337778862885"/>
                </patternFill>
              </fill>
            </x14:dxf>
          </x14:cfRule>
          <x14:cfRule type="containsText" priority="4866" operator="containsText" id="{5E4C14A3-2FEC-476A-81A7-BEDCA4AF9B62}">
            <xm:f>NOT(ISERROR(SEARCH($Q$12,AM532)))</xm:f>
            <xm:f>$Q$12</xm:f>
            <x14:dxf>
              <fill>
                <patternFill>
                  <bgColor theme="9"/>
                </patternFill>
              </fill>
            </x14:dxf>
          </x14:cfRule>
          <x14:cfRule type="containsText" priority="4862" operator="containsText" id="{6EAF8455-2032-4963-8019-591AB55E968B}">
            <xm:f>NOT(ISERROR(SEARCH($Q$12,AM532)))</xm:f>
            <xm:f>$Q$12</xm:f>
            <x14:dxf>
              <fill>
                <patternFill>
                  <bgColor rgb="FFFFFF00"/>
                </patternFill>
              </fill>
            </x14:dxf>
          </x14:cfRule>
          <x14:cfRule type="containsText" priority="4860" operator="containsText" id="{6FA40D94-6236-4FC1-B01C-9855F6C64EA5}">
            <xm:f>NOT(ISERROR(SEARCH($Q$12,AM532)))</xm:f>
            <xm:f>$Q$12</xm:f>
            <x14:dxf>
              <fill>
                <patternFill>
                  <bgColor theme="9" tint="0.39994506668294322"/>
                </patternFill>
              </fill>
            </x14:dxf>
          </x14:cfRule>
          <xm:sqref>AM532</xm:sqref>
        </x14:conditionalFormatting>
        <x14:conditionalFormatting xmlns:xm="http://schemas.microsoft.com/office/excel/2006/main">
          <x14:cfRule type="containsText" priority="3743" operator="containsText" id="{706F19F0-19A9-486A-AC8E-7C5261BBA5FC}">
            <xm:f>NOT(ISERROR(SEARCH($Q$12,AM622)))</xm:f>
            <xm:f>$Q$12</xm:f>
            <x14:dxf>
              <fill>
                <patternFill>
                  <bgColor rgb="FFFFC000"/>
                </patternFill>
              </fill>
            </x14:dxf>
          </x14:cfRule>
          <x14:cfRule type="containsText" priority="3742" operator="containsText" id="{180D20CD-21C7-4BBD-AB32-8C06D3E45526}">
            <xm:f>NOT(ISERROR(SEARCH($Q$12,AM622)))</xm:f>
            <xm:f>$Q$12</xm:f>
            <x14:dxf>
              <fill>
                <patternFill>
                  <bgColor rgb="FFFFFF00"/>
                </patternFill>
              </fill>
            </x14:dxf>
          </x14:cfRule>
          <x14:cfRule type="containsText" priority="3741" operator="containsText" id="{A3D16417-B860-4283-9966-E025CDA5B399}">
            <xm:f>NOT(ISERROR(SEARCH($Q$12,AM622)))</xm:f>
            <xm:f>$Q$12</xm:f>
            <x14:dxf>
              <fill>
                <patternFill>
                  <bgColor rgb="FF00B050"/>
                </patternFill>
              </fill>
            </x14:dxf>
          </x14:cfRule>
          <x14:cfRule type="containsText" priority="3740" operator="containsText" id="{5481F8C5-9F5D-48C0-B035-9A837A7BFEF8}">
            <xm:f>NOT(ISERROR(SEARCH($Q$12,AM622)))</xm:f>
            <xm:f>$Q$12</xm:f>
            <x14:dxf>
              <fill>
                <patternFill>
                  <bgColor theme="9" tint="0.39994506668294322"/>
                </patternFill>
              </fill>
            </x14:dxf>
          </x14:cfRule>
          <x14:cfRule type="containsText" priority="3749" operator="containsText" id="{7B85FEAE-3CB8-42B1-B7A9-DEB64BCDD921}">
            <xm:f>NOT(ISERROR(SEARCH($Q$12,AM622)))</xm:f>
            <xm:f>$Q$12</xm:f>
            <x14:dxf>
              <fill>
                <patternFill>
                  <bgColor rgb="FFFF0000"/>
                </patternFill>
              </fill>
            </x14:dxf>
          </x14:cfRule>
          <x14:cfRule type="containsText" priority="3744" operator="containsText" id="{437A50A2-28C9-459D-8999-EF73E7AA11FC}">
            <xm:f>NOT(ISERROR(SEARCH($Q$12,AM622)))</xm:f>
            <xm:f>$Q$12</xm:f>
            <x14:dxf>
              <fill>
                <patternFill>
                  <bgColor rgb="FFFF0000"/>
                </patternFill>
              </fill>
            </x14:dxf>
          </x14:cfRule>
          <x14:cfRule type="containsText" priority="3745" operator="containsText" id="{24B86886-A49A-4EA7-8B8F-BBD2174B4212}">
            <xm:f>NOT(ISERROR(SEARCH($Q$12,AM622)))</xm:f>
            <xm:f>$Q$12</xm:f>
            <x14:dxf>
              <fill>
                <patternFill>
                  <bgColor theme="9" tint="0.59996337778862885"/>
                </patternFill>
              </fill>
            </x14:dxf>
          </x14:cfRule>
          <x14:cfRule type="containsText" priority="3746" operator="containsText" id="{64D1CC5D-3396-4FBD-88CE-382CD43D78C7}">
            <xm:f>NOT(ISERROR(SEARCH($Q$12,AM622)))</xm:f>
            <xm:f>$Q$12</xm:f>
            <x14:dxf>
              <fill>
                <patternFill>
                  <bgColor theme="9"/>
                </patternFill>
              </fill>
            </x14:dxf>
          </x14:cfRule>
          <x14:cfRule type="containsText" priority="3748" operator="containsText" id="{088DC844-6CFB-41C9-9AB9-2A686D53A60D}">
            <xm:f>NOT(ISERROR(SEARCH($Q$12,AM622)))</xm:f>
            <xm:f>$Q$12</xm:f>
            <x14:dxf>
              <fill>
                <patternFill>
                  <bgColor rgb="FFFFC000"/>
                </patternFill>
              </fill>
            </x14:dxf>
          </x14:cfRule>
          <x14:cfRule type="containsText" priority="3739" operator="containsText" id="{BC69399E-EA9F-4ACD-88E9-81ED62F13A02}">
            <xm:f>NOT(ISERROR(SEARCH($Q$12,AM622)))</xm:f>
            <xm:f>$Q$12</xm:f>
            <x14:dxf>
              <fill>
                <patternFill>
                  <bgColor theme="9" tint="0.79998168889431442"/>
                </patternFill>
              </fill>
            </x14:dxf>
          </x14:cfRule>
          <xm:sqref>AM622</xm:sqref>
        </x14:conditionalFormatting>
        <x14:conditionalFormatting xmlns:xm="http://schemas.microsoft.com/office/excel/2006/main">
          <x14:cfRule type="containsText" priority="738" operator="containsText" id="{DB9C7EC0-34BC-4EEE-BA6F-6E860330C6DD}">
            <xm:f>NOT(ISERROR(SEARCH($Q$12,AM942)))</xm:f>
            <xm:f>$Q$12</xm:f>
            <x14:dxf>
              <fill>
                <patternFill>
                  <bgColor rgb="FFFFC000"/>
                </patternFill>
              </fill>
            </x14:dxf>
          </x14:cfRule>
          <x14:cfRule type="containsText" priority="729" operator="containsText" id="{61D2E29B-6915-4B12-96C7-D08C2CE2F1B3}">
            <xm:f>NOT(ISERROR(SEARCH($Q$12,AM942)))</xm:f>
            <xm:f>$Q$12</xm:f>
            <x14:dxf>
              <fill>
                <patternFill>
                  <bgColor theme="9" tint="0.79998168889431442"/>
                </patternFill>
              </fill>
            </x14:dxf>
          </x14:cfRule>
          <x14:cfRule type="containsText" priority="730" operator="containsText" id="{4EBCA550-DD71-472A-94F8-2B2E42E1AFB5}">
            <xm:f>NOT(ISERROR(SEARCH($Q$12,AM942)))</xm:f>
            <xm:f>$Q$12</xm:f>
            <x14:dxf>
              <fill>
                <patternFill>
                  <bgColor theme="9" tint="0.39994506668294322"/>
                </patternFill>
              </fill>
            </x14:dxf>
          </x14:cfRule>
          <x14:cfRule type="containsText" priority="731" operator="containsText" id="{5E32D838-702D-4876-8944-2D58CC7FE340}">
            <xm:f>NOT(ISERROR(SEARCH($Q$12,AM942)))</xm:f>
            <xm:f>$Q$12</xm:f>
            <x14:dxf>
              <fill>
                <patternFill>
                  <bgColor rgb="FF00B050"/>
                </patternFill>
              </fill>
            </x14:dxf>
          </x14:cfRule>
          <x14:cfRule type="containsText" priority="732" operator="containsText" id="{3F7B19D5-3EB9-4868-9625-ECF8891F9AF7}">
            <xm:f>NOT(ISERROR(SEARCH($Q$12,AM942)))</xm:f>
            <xm:f>$Q$12</xm:f>
            <x14:dxf>
              <fill>
                <patternFill>
                  <bgColor rgb="FFFFFF00"/>
                </patternFill>
              </fill>
            </x14:dxf>
          </x14:cfRule>
          <x14:cfRule type="containsText" priority="739" operator="containsText" id="{FBE08532-092B-498A-B47A-77E93EF45E19}">
            <xm:f>NOT(ISERROR(SEARCH($Q$12,AM942)))</xm:f>
            <xm:f>$Q$12</xm:f>
            <x14:dxf>
              <fill>
                <patternFill>
                  <bgColor rgb="FFFF0000"/>
                </patternFill>
              </fill>
            </x14:dxf>
          </x14:cfRule>
          <x14:cfRule type="containsText" priority="735" operator="containsText" id="{F935B192-06C4-4EAB-AF36-D3937B531AA2}">
            <xm:f>NOT(ISERROR(SEARCH($Q$12,AM942)))</xm:f>
            <xm:f>$Q$12</xm:f>
            <x14:dxf>
              <fill>
                <patternFill>
                  <bgColor theme="9" tint="0.59996337778862885"/>
                </patternFill>
              </fill>
            </x14:dxf>
          </x14:cfRule>
          <x14:cfRule type="containsText" priority="734" operator="containsText" id="{AAD17C9D-B7FD-46D5-999B-84D448E09392}">
            <xm:f>NOT(ISERROR(SEARCH($Q$12,AM942)))</xm:f>
            <xm:f>$Q$12</xm:f>
            <x14:dxf>
              <fill>
                <patternFill>
                  <bgColor rgb="FFFF0000"/>
                </patternFill>
              </fill>
            </x14:dxf>
          </x14:cfRule>
          <x14:cfRule type="containsText" priority="733" operator="containsText" id="{539DA775-F692-4225-8DBB-177AC842ADDF}">
            <xm:f>NOT(ISERROR(SEARCH($Q$12,AM942)))</xm:f>
            <xm:f>$Q$12</xm:f>
            <x14:dxf>
              <fill>
                <patternFill>
                  <bgColor rgb="FFFFC000"/>
                </patternFill>
              </fill>
            </x14:dxf>
          </x14:cfRule>
          <x14:cfRule type="containsText" priority="736" operator="containsText" id="{99561D53-75A4-490F-96B1-90F8C903E6CE}">
            <xm:f>NOT(ISERROR(SEARCH($Q$12,AM942)))</xm:f>
            <xm:f>$Q$12</xm:f>
            <x14:dxf>
              <fill>
                <patternFill>
                  <bgColor theme="9"/>
                </patternFill>
              </fill>
            </x14:dxf>
          </x14:cfRule>
          <xm:sqref>AM942</xm:sqref>
        </x14:conditionalFormatting>
        <x14:conditionalFormatting xmlns:xm="http://schemas.microsoft.com/office/excel/2006/main">
          <x14:cfRule type="containsText" priority="10005" operator="containsText" id="{5C244886-022B-4C84-A069-2B8962C430FD}">
            <xm:f>NOT(ISERROR(SEARCH($Q$12,AM12)))</xm:f>
            <xm:f>$Q$12</xm:f>
            <x14:dxf>
              <fill>
                <patternFill>
                  <bgColor rgb="FFFFFF00"/>
                </patternFill>
              </fill>
            </x14:dxf>
          </x14:cfRule>
          <xm:sqref>AM12:AN12</xm:sqref>
        </x14:conditionalFormatting>
        <x14:conditionalFormatting xmlns:xm="http://schemas.microsoft.com/office/excel/2006/main">
          <x14:cfRule type="containsText" priority="10107" operator="containsText" id="{7C2B36A8-0187-4D79-A3E4-3CF2090FB7DE}">
            <xm:f>NOT(ISERROR(SEARCH($Q$12,AM22)))</xm:f>
            <xm:f>$Q$12</xm:f>
            <x14:dxf>
              <fill>
                <patternFill>
                  <bgColor rgb="FF00B050"/>
                </patternFill>
              </fill>
            </x14:dxf>
          </x14:cfRule>
          <x14:cfRule type="containsText" priority="10106" operator="containsText" id="{9132E95D-DA0F-4318-A067-44A946672BC2}">
            <xm:f>NOT(ISERROR(SEARCH($Q$12,AM22)))</xm:f>
            <xm:f>$Q$12</xm:f>
            <x14:dxf>
              <fill>
                <patternFill>
                  <bgColor theme="9" tint="0.39994506668294322"/>
                </patternFill>
              </fill>
            </x14:dxf>
          </x14:cfRule>
          <x14:cfRule type="containsText" priority="10115" operator="containsText" id="{DFED2BEA-EE47-4BE6-8A5C-1A6A74FB9296}">
            <xm:f>NOT(ISERROR(SEARCH($Q$12,AM22)))</xm:f>
            <xm:f>$Q$12</xm:f>
            <x14:dxf>
              <fill>
                <patternFill>
                  <bgColor rgb="FFFF0000"/>
                </patternFill>
              </fill>
            </x14:dxf>
          </x14:cfRule>
          <x14:cfRule type="containsText" priority="10114" operator="containsText" id="{C9761664-1894-4541-AD49-BCA9EB61D62F}">
            <xm:f>NOT(ISERROR(SEARCH($Q$12,AM22)))</xm:f>
            <xm:f>$Q$12</xm:f>
            <x14:dxf>
              <fill>
                <patternFill>
                  <bgColor rgb="FFFFC000"/>
                </patternFill>
              </fill>
            </x14:dxf>
          </x14:cfRule>
          <x14:cfRule type="containsText" priority="10113" operator="containsText" id="{0B7325DE-5012-4BC6-88B6-E8A87998B022}">
            <xm:f>NOT(ISERROR(SEARCH($Q$12,AM22)))</xm:f>
            <xm:f>$Q$12</xm:f>
            <x14:dxf>
              <fill>
                <patternFill>
                  <bgColor rgb="FFFFFF00"/>
                </patternFill>
              </fill>
            </x14:dxf>
          </x14:cfRule>
          <x14:cfRule type="containsText" priority="10112" operator="containsText" id="{31F97019-3B21-482B-AD2D-BD95E31932D4}">
            <xm:f>NOT(ISERROR(SEARCH($Q$12,AM22)))</xm:f>
            <xm:f>$Q$12</xm:f>
            <x14:dxf>
              <fill>
                <patternFill>
                  <bgColor theme="9"/>
                </patternFill>
              </fill>
            </x14:dxf>
          </x14:cfRule>
          <x14:cfRule type="containsText" priority="10111" operator="containsText" id="{6A81263A-3E79-4914-ACF0-B89EF0B51317}">
            <xm:f>NOT(ISERROR(SEARCH($Q$12,AM22)))</xm:f>
            <xm:f>$Q$12</xm:f>
            <x14:dxf>
              <fill>
                <patternFill>
                  <bgColor theme="9" tint="0.59996337778862885"/>
                </patternFill>
              </fill>
            </x14:dxf>
          </x14:cfRule>
          <x14:cfRule type="containsText" priority="10110" operator="containsText" id="{BDFA2876-AE18-4328-A5F3-F426EF4BEB34}">
            <xm:f>NOT(ISERROR(SEARCH($Q$12,AM22)))</xm:f>
            <xm:f>$Q$12</xm:f>
            <x14:dxf>
              <fill>
                <patternFill>
                  <bgColor rgb="FFFF0000"/>
                </patternFill>
              </fill>
            </x14:dxf>
          </x14:cfRule>
          <x14:cfRule type="containsText" priority="10109" operator="containsText" id="{E0B5874B-D619-4DD5-9E51-CC5DA591642E}">
            <xm:f>NOT(ISERROR(SEARCH($Q$12,AM22)))</xm:f>
            <xm:f>$Q$12</xm:f>
            <x14:dxf>
              <fill>
                <patternFill>
                  <bgColor rgb="FFFFC000"/>
                </patternFill>
              </fill>
            </x14:dxf>
          </x14:cfRule>
          <x14:cfRule type="containsText" priority="10105" operator="containsText" id="{3A2FDD01-A013-4F54-8E0D-E970371B0D86}">
            <xm:f>NOT(ISERROR(SEARCH($Q$12,AM22)))</xm:f>
            <xm:f>$Q$12</xm:f>
            <x14:dxf>
              <fill>
                <patternFill>
                  <bgColor theme="9" tint="0.79998168889431442"/>
                </patternFill>
              </fill>
            </x14:dxf>
          </x14:cfRule>
          <x14:cfRule type="containsText" priority="10108" operator="containsText" id="{B1E89B9F-3D8C-44DC-9B61-DCBA25CB0CF0}">
            <xm:f>NOT(ISERROR(SEARCH($Q$12,AM22)))</xm:f>
            <xm:f>$Q$12</xm:f>
            <x14:dxf>
              <fill>
                <patternFill>
                  <bgColor rgb="FFFFFF00"/>
                </patternFill>
              </fill>
            </x14:dxf>
          </x14:cfRule>
          <xm:sqref>AM22:AN22</xm:sqref>
        </x14:conditionalFormatting>
        <x14:conditionalFormatting xmlns:xm="http://schemas.microsoft.com/office/excel/2006/main">
          <x14:cfRule type="containsText" priority="9607" operator="containsText" id="{7D05BFE9-6238-4BD8-85B9-E9A9B9BB3CC0}">
            <xm:f>NOT(ISERROR(SEARCH($Q$12,AM32)))</xm:f>
            <xm:f>$Q$12</xm:f>
            <x14:dxf>
              <fill>
                <patternFill>
                  <bgColor rgb="FFFFFF00"/>
                </patternFill>
              </fill>
            </x14:dxf>
          </x14:cfRule>
          <xm:sqref>AM32:AN32</xm:sqref>
        </x14:conditionalFormatting>
        <x14:conditionalFormatting xmlns:xm="http://schemas.microsoft.com/office/excel/2006/main">
          <x14:cfRule type="containsText" priority="9885" operator="containsText" id="{7412D3DB-7DB2-45D5-9400-C4391DE9C376}">
            <xm:f>NOT(ISERROR(SEARCH($Q$12,AM42)))</xm:f>
            <xm:f>$Q$12</xm:f>
            <x14:dxf>
              <fill>
                <patternFill>
                  <bgColor theme="9" tint="0.79998168889431442"/>
                </patternFill>
              </fill>
            </x14:dxf>
          </x14:cfRule>
          <x14:cfRule type="containsText" priority="9886" operator="containsText" id="{C9BD00E7-5036-4D16-A07F-EA8BD3D5A9E3}">
            <xm:f>NOT(ISERROR(SEARCH($Q$12,AM42)))</xm:f>
            <xm:f>$Q$12</xm:f>
            <x14:dxf>
              <fill>
                <patternFill>
                  <bgColor theme="9" tint="0.39994506668294322"/>
                </patternFill>
              </fill>
            </x14:dxf>
          </x14:cfRule>
          <x14:cfRule type="containsText" priority="9887" operator="containsText" id="{6C511A7A-A846-4F4A-AD70-8E423BB3E6F7}">
            <xm:f>NOT(ISERROR(SEARCH($Q$12,AM42)))</xm:f>
            <xm:f>$Q$12</xm:f>
            <x14:dxf>
              <fill>
                <patternFill>
                  <bgColor rgb="FF00B050"/>
                </patternFill>
              </fill>
            </x14:dxf>
          </x14:cfRule>
          <x14:cfRule type="containsText" priority="9889" operator="containsText" id="{7BFCBE6F-C99B-4E91-8205-BD8F7BC62D39}">
            <xm:f>NOT(ISERROR(SEARCH($Q$12,AM42)))</xm:f>
            <xm:f>$Q$12</xm:f>
            <x14:dxf>
              <fill>
                <patternFill>
                  <bgColor rgb="FFFFC000"/>
                </patternFill>
              </fill>
            </x14:dxf>
          </x14:cfRule>
          <x14:cfRule type="containsText" priority="9890" operator="containsText" id="{0E5BEBB5-F83F-42E0-86FF-5779850004BD}">
            <xm:f>NOT(ISERROR(SEARCH($Q$12,AM42)))</xm:f>
            <xm:f>$Q$12</xm:f>
            <x14:dxf>
              <fill>
                <patternFill>
                  <bgColor rgb="FFFF0000"/>
                </patternFill>
              </fill>
            </x14:dxf>
          </x14:cfRule>
          <x14:cfRule type="containsText" priority="9891" operator="containsText" id="{C158CD9E-41F0-4177-ADB8-7264B63AFE7C}">
            <xm:f>NOT(ISERROR(SEARCH($Q$12,AM42)))</xm:f>
            <xm:f>$Q$12</xm:f>
            <x14:dxf>
              <fill>
                <patternFill>
                  <bgColor theme="9" tint="0.59996337778862885"/>
                </patternFill>
              </fill>
            </x14:dxf>
          </x14:cfRule>
          <x14:cfRule type="containsText" priority="9892" operator="containsText" id="{F427538A-0055-4198-9D5F-66ECBFD25EB4}">
            <xm:f>NOT(ISERROR(SEARCH($Q$12,AM42)))</xm:f>
            <xm:f>$Q$12</xm:f>
            <x14:dxf>
              <fill>
                <patternFill>
                  <bgColor theme="9"/>
                </patternFill>
              </fill>
            </x14:dxf>
          </x14:cfRule>
          <x14:cfRule type="containsText" priority="9893" operator="containsText" id="{BE40748F-BCBD-457C-BF95-932100F0436D}">
            <xm:f>NOT(ISERROR(SEARCH($Q$12,AM42)))</xm:f>
            <xm:f>$Q$12</xm:f>
            <x14:dxf>
              <fill>
                <patternFill>
                  <bgColor rgb="FFFFFF00"/>
                </patternFill>
              </fill>
            </x14:dxf>
          </x14:cfRule>
          <x14:cfRule type="containsText" priority="9894" operator="containsText" id="{ACFBE892-CE9A-4311-9324-4EA094301187}">
            <xm:f>NOT(ISERROR(SEARCH($Q$12,AM42)))</xm:f>
            <xm:f>$Q$12</xm:f>
            <x14:dxf>
              <fill>
                <patternFill>
                  <bgColor rgb="FFFFC000"/>
                </patternFill>
              </fill>
            </x14:dxf>
          </x14:cfRule>
          <x14:cfRule type="containsText" priority="9895" operator="containsText" id="{0F73E0FE-56F3-45F6-8823-5EB623CB9B00}">
            <xm:f>NOT(ISERROR(SEARCH($Q$12,AM42)))</xm:f>
            <xm:f>$Q$12</xm:f>
            <x14:dxf>
              <fill>
                <patternFill>
                  <bgColor rgb="FFFF0000"/>
                </patternFill>
              </fill>
            </x14:dxf>
          </x14:cfRule>
          <x14:cfRule type="containsText" priority="9888" operator="containsText" id="{AA725855-FA65-42E0-B781-F8EAD859F085}">
            <xm:f>NOT(ISERROR(SEARCH($Q$12,AM42)))</xm:f>
            <xm:f>$Q$12</xm:f>
            <x14:dxf>
              <fill>
                <patternFill>
                  <bgColor rgb="FFFFFF00"/>
                </patternFill>
              </fill>
            </x14:dxf>
          </x14:cfRule>
          <xm:sqref>AM42:AN42</xm:sqref>
        </x14:conditionalFormatting>
        <x14:conditionalFormatting xmlns:xm="http://schemas.microsoft.com/office/excel/2006/main">
          <x14:cfRule type="containsText" priority="9879" operator="containsText" id="{917E0935-E0BD-490E-B853-2F927ED3A83E}">
            <xm:f>NOT(ISERROR(SEARCH($Q$12,AM52)))</xm:f>
            <xm:f>$Q$12</xm:f>
            <x14:dxf>
              <fill>
                <patternFill>
                  <bgColor rgb="FFFF0000"/>
                </patternFill>
              </fill>
            </x14:dxf>
          </x14:cfRule>
          <x14:cfRule type="containsText" priority="9877" operator="containsText" id="{05B4576E-A066-4B45-8D15-225243B2406B}">
            <xm:f>NOT(ISERROR(SEARCH($Q$12,AM52)))</xm:f>
            <xm:f>$Q$12</xm:f>
            <x14:dxf>
              <fill>
                <patternFill>
                  <bgColor rgb="FFFFFF00"/>
                </patternFill>
              </fill>
            </x14:dxf>
          </x14:cfRule>
          <x14:cfRule type="containsText" priority="9876" operator="containsText" id="{0B622CDB-32C4-486B-9FAF-AE1F803AD44B}">
            <xm:f>NOT(ISERROR(SEARCH($Q$12,AM52)))</xm:f>
            <xm:f>$Q$12</xm:f>
            <x14:dxf>
              <fill>
                <patternFill>
                  <bgColor theme="9"/>
                </patternFill>
              </fill>
            </x14:dxf>
          </x14:cfRule>
          <x14:cfRule type="containsText" priority="9875" operator="containsText" id="{59835E69-12BB-45EB-8424-FD93438E53B4}">
            <xm:f>NOT(ISERROR(SEARCH($Q$12,AM52)))</xm:f>
            <xm:f>$Q$12</xm:f>
            <x14:dxf>
              <fill>
                <patternFill>
                  <bgColor theme="9" tint="0.59996337778862885"/>
                </patternFill>
              </fill>
            </x14:dxf>
          </x14:cfRule>
          <x14:cfRule type="containsText" priority="9872" operator="containsText" id="{4B3E9967-D40A-4117-8B83-5AFB2D12B651}">
            <xm:f>NOT(ISERROR(SEARCH($Q$12,AM52)))</xm:f>
            <xm:f>$Q$12</xm:f>
            <x14:dxf>
              <fill>
                <patternFill>
                  <bgColor rgb="FFFFFF00"/>
                </patternFill>
              </fill>
            </x14:dxf>
          </x14:cfRule>
          <x14:cfRule type="containsText" priority="9874" operator="containsText" id="{28034982-8B33-4062-B20E-1D983AC3C230}">
            <xm:f>NOT(ISERROR(SEARCH($Q$12,AM52)))</xm:f>
            <xm:f>$Q$12</xm:f>
            <x14:dxf>
              <fill>
                <patternFill>
                  <bgColor rgb="FFFF0000"/>
                </patternFill>
              </fill>
            </x14:dxf>
          </x14:cfRule>
          <x14:cfRule type="containsText" priority="9873" operator="containsText" id="{BECCE0E6-E554-4DCD-BCE5-0F2053D7BA12}">
            <xm:f>NOT(ISERROR(SEARCH($Q$12,AM52)))</xm:f>
            <xm:f>$Q$12</xm:f>
            <x14:dxf>
              <fill>
                <patternFill>
                  <bgColor rgb="FFFFC000"/>
                </patternFill>
              </fill>
            </x14:dxf>
          </x14:cfRule>
          <x14:cfRule type="containsText" priority="9871" operator="containsText" id="{97F73724-BC50-4D81-AB6D-27F66BCB050C}">
            <xm:f>NOT(ISERROR(SEARCH($Q$12,AM52)))</xm:f>
            <xm:f>$Q$12</xm:f>
            <x14:dxf>
              <fill>
                <patternFill>
                  <bgColor rgb="FF00B050"/>
                </patternFill>
              </fill>
            </x14:dxf>
          </x14:cfRule>
          <x14:cfRule type="containsText" priority="9870" operator="containsText" id="{65D7FA2D-D7B4-4006-BB45-B7A15091D18C}">
            <xm:f>NOT(ISERROR(SEARCH($Q$12,AM52)))</xm:f>
            <xm:f>$Q$12</xm:f>
            <x14:dxf>
              <fill>
                <patternFill>
                  <bgColor theme="9" tint="0.39994506668294322"/>
                </patternFill>
              </fill>
            </x14:dxf>
          </x14:cfRule>
          <x14:cfRule type="containsText" priority="9869" operator="containsText" id="{6A0E885C-0D08-4822-B416-B7A3F0D5FE32}">
            <xm:f>NOT(ISERROR(SEARCH($Q$12,AM52)))</xm:f>
            <xm:f>$Q$12</xm:f>
            <x14:dxf>
              <fill>
                <patternFill>
                  <bgColor theme="9" tint="0.79998168889431442"/>
                </patternFill>
              </fill>
            </x14:dxf>
          </x14:cfRule>
          <x14:cfRule type="containsText" priority="9878" operator="containsText" id="{C489009D-3834-4F82-AA03-A716CA94ABA0}">
            <xm:f>NOT(ISERROR(SEARCH($Q$12,AM52)))</xm:f>
            <xm:f>$Q$12</xm:f>
            <x14:dxf>
              <fill>
                <patternFill>
                  <bgColor rgb="FFFFC000"/>
                </patternFill>
              </fill>
            </x14:dxf>
          </x14:cfRule>
          <xm:sqref>AM52:AN52</xm:sqref>
        </x14:conditionalFormatting>
        <x14:conditionalFormatting xmlns:xm="http://schemas.microsoft.com/office/excel/2006/main">
          <x14:cfRule type="containsText" priority="9853" operator="containsText" id="{0B808F92-D79D-4B23-AED5-C5F5DB67BEBD}">
            <xm:f>NOT(ISERROR(SEARCH($Q$12,AM62)))</xm:f>
            <xm:f>$Q$12</xm:f>
            <x14:dxf>
              <fill>
                <patternFill>
                  <bgColor theme="9" tint="0.79998168889431442"/>
                </patternFill>
              </fill>
            </x14:dxf>
          </x14:cfRule>
          <x14:cfRule type="containsText" priority="9854" operator="containsText" id="{4CECB17F-2ABC-482B-8FE9-AC268A22EA0A}">
            <xm:f>NOT(ISERROR(SEARCH($Q$12,AM62)))</xm:f>
            <xm:f>$Q$12</xm:f>
            <x14:dxf>
              <fill>
                <patternFill>
                  <bgColor theme="9" tint="0.39994506668294322"/>
                </patternFill>
              </fill>
            </x14:dxf>
          </x14:cfRule>
          <x14:cfRule type="containsText" priority="9855" operator="containsText" id="{8F3DE357-62BF-458F-8CF0-EA6C5620573C}">
            <xm:f>NOT(ISERROR(SEARCH($Q$12,AM62)))</xm:f>
            <xm:f>$Q$12</xm:f>
            <x14:dxf>
              <fill>
                <patternFill>
                  <bgColor rgb="FF00B050"/>
                </patternFill>
              </fill>
            </x14:dxf>
          </x14:cfRule>
          <x14:cfRule type="containsText" priority="9856" operator="containsText" id="{B70E9348-CC3A-4932-B34B-2A2D3DB58F64}">
            <xm:f>NOT(ISERROR(SEARCH($Q$12,AM62)))</xm:f>
            <xm:f>$Q$12</xm:f>
            <x14:dxf>
              <fill>
                <patternFill>
                  <bgColor rgb="FFFFFF00"/>
                </patternFill>
              </fill>
            </x14:dxf>
          </x14:cfRule>
          <x14:cfRule type="containsText" priority="9857" operator="containsText" id="{86AA71CC-9CC3-452B-8411-3638677CA047}">
            <xm:f>NOT(ISERROR(SEARCH($Q$12,AM62)))</xm:f>
            <xm:f>$Q$12</xm:f>
            <x14:dxf>
              <fill>
                <patternFill>
                  <bgColor rgb="FFFFC000"/>
                </patternFill>
              </fill>
            </x14:dxf>
          </x14:cfRule>
          <x14:cfRule type="containsText" priority="9858" operator="containsText" id="{EB45D7D8-47EA-427E-A4EA-263890E2CC4D}">
            <xm:f>NOT(ISERROR(SEARCH($Q$12,AM62)))</xm:f>
            <xm:f>$Q$12</xm:f>
            <x14:dxf>
              <fill>
                <patternFill>
                  <bgColor rgb="FFFF0000"/>
                </patternFill>
              </fill>
            </x14:dxf>
          </x14:cfRule>
          <x14:cfRule type="containsText" priority="9859" operator="containsText" id="{AB43F497-CD86-4C2F-91CF-15008E24DB12}">
            <xm:f>NOT(ISERROR(SEARCH($Q$12,AM62)))</xm:f>
            <xm:f>$Q$12</xm:f>
            <x14:dxf>
              <fill>
                <patternFill>
                  <bgColor theme="9" tint="0.59996337778862885"/>
                </patternFill>
              </fill>
            </x14:dxf>
          </x14:cfRule>
          <x14:cfRule type="containsText" priority="9860" operator="containsText" id="{FA5EF732-C230-474D-B591-F6D97C75ABB6}">
            <xm:f>NOT(ISERROR(SEARCH($Q$12,AM62)))</xm:f>
            <xm:f>$Q$12</xm:f>
            <x14:dxf>
              <fill>
                <patternFill>
                  <bgColor theme="9"/>
                </patternFill>
              </fill>
            </x14:dxf>
          </x14:cfRule>
          <x14:cfRule type="containsText" priority="9861" operator="containsText" id="{8BD10674-2BAF-4D57-A16A-C42A2075CECA}">
            <xm:f>NOT(ISERROR(SEARCH($Q$12,AM62)))</xm:f>
            <xm:f>$Q$12</xm:f>
            <x14:dxf>
              <fill>
                <patternFill>
                  <bgColor rgb="FFFFFF00"/>
                </patternFill>
              </fill>
            </x14:dxf>
          </x14:cfRule>
          <x14:cfRule type="containsText" priority="9862" operator="containsText" id="{3E1557E9-09DB-46B4-A407-A6568AB23C7D}">
            <xm:f>NOT(ISERROR(SEARCH($Q$12,AM62)))</xm:f>
            <xm:f>$Q$12</xm:f>
            <x14:dxf>
              <fill>
                <patternFill>
                  <bgColor rgb="FFFFC000"/>
                </patternFill>
              </fill>
            </x14:dxf>
          </x14:cfRule>
          <x14:cfRule type="containsText" priority="9863" operator="containsText" id="{9371A4DA-59BA-48E4-A78C-D91FBB048CE4}">
            <xm:f>NOT(ISERROR(SEARCH($Q$12,AM62)))</xm:f>
            <xm:f>$Q$12</xm:f>
            <x14:dxf>
              <fill>
                <patternFill>
                  <bgColor rgb="FFFF0000"/>
                </patternFill>
              </fill>
            </x14:dxf>
          </x14:cfRule>
          <xm:sqref>AM62:AN62</xm:sqref>
        </x14:conditionalFormatting>
        <x14:conditionalFormatting xmlns:xm="http://schemas.microsoft.com/office/excel/2006/main">
          <x14:cfRule type="containsText" priority="9119" operator="containsText" id="{B7141FB2-4E60-47D7-B789-17EA057F1D7A}">
            <xm:f>NOT(ISERROR(SEARCH($Q$12,AM72)))</xm:f>
            <xm:f>$Q$12</xm:f>
            <x14:dxf>
              <fill>
                <patternFill>
                  <bgColor rgb="FFFFFF00"/>
                </patternFill>
              </fill>
            </x14:dxf>
          </x14:cfRule>
          <xm:sqref>AM72:AN72</xm:sqref>
        </x14:conditionalFormatting>
        <x14:conditionalFormatting xmlns:xm="http://schemas.microsoft.com/office/excel/2006/main">
          <x14:cfRule type="containsText" priority="9497" operator="containsText" id="{554931D9-162C-4E58-88E6-F4197BFDD70E}">
            <xm:f>NOT(ISERROR(SEARCH($Q$12,AM82)))</xm:f>
            <xm:f>$Q$12</xm:f>
            <x14:dxf>
              <fill>
                <patternFill>
                  <bgColor rgb="FFFF0000"/>
                </patternFill>
              </fill>
            </x14:dxf>
          </x14:cfRule>
          <x14:cfRule type="containsText" priority="9496" operator="containsText" id="{811889A2-96D6-4876-A8A0-70A9781F29E1}">
            <xm:f>NOT(ISERROR(SEARCH($Q$12,AM82)))</xm:f>
            <xm:f>$Q$12</xm:f>
            <x14:dxf>
              <fill>
                <patternFill>
                  <bgColor rgb="FFFFC000"/>
                </patternFill>
              </fill>
            </x14:dxf>
          </x14:cfRule>
          <x14:cfRule type="containsText" priority="9487" operator="containsText" id="{A6825E4A-683A-4BA7-A889-4AD3E730E07C}">
            <xm:f>NOT(ISERROR(SEARCH($Q$12,AM82)))</xm:f>
            <xm:f>$Q$12</xm:f>
            <x14:dxf>
              <fill>
                <patternFill>
                  <bgColor theme="9" tint="0.79998168889431442"/>
                </patternFill>
              </fill>
            </x14:dxf>
          </x14:cfRule>
          <x14:cfRule type="containsText" priority="9488" operator="containsText" id="{D5D51C64-6848-459B-AAC4-B26BC5CCB625}">
            <xm:f>NOT(ISERROR(SEARCH($Q$12,AM82)))</xm:f>
            <xm:f>$Q$12</xm:f>
            <x14:dxf>
              <fill>
                <patternFill>
                  <bgColor theme="9" tint="0.39994506668294322"/>
                </patternFill>
              </fill>
            </x14:dxf>
          </x14:cfRule>
          <x14:cfRule type="containsText" priority="9489" operator="containsText" id="{76365999-CF2B-4A70-98EA-02CB10B0D172}">
            <xm:f>NOT(ISERROR(SEARCH($Q$12,AM82)))</xm:f>
            <xm:f>$Q$12</xm:f>
            <x14:dxf>
              <fill>
                <patternFill>
                  <bgColor rgb="FF00B050"/>
                </patternFill>
              </fill>
            </x14:dxf>
          </x14:cfRule>
          <x14:cfRule type="containsText" priority="9495" operator="containsText" id="{65EF0846-2382-4AFE-93F7-23D17C04A1CF}">
            <xm:f>NOT(ISERROR(SEARCH($Q$12,AM82)))</xm:f>
            <xm:f>$Q$12</xm:f>
            <x14:dxf>
              <fill>
                <patternFill>
                  <bgColor rgb="FFFFFF00"/>
                </patternFill>
              </fill>
            </x14:dxf>
          </x14:cfRule>
          <x14:cfRule type="containsText" priority="9494" operator="containsText" id="{3EB01DA1-65C2-4774-8DC7-1DF3BB4EFD74}">
            <xm:f>NOT(ISERROR(SEARCH($Q$12,AM82)))</xm:f>
            <xm:f>$Q$12</xm:f>
            <x14:dxf>
              <fill>
                <patternFill>
                  <bgColor theme="9"/>
                </patternFill>
              </fill>
            </x14:dxf>
          </x14:cfRule>
          <x14:cfRule type="containsText" priority="9493" operator="containsText" id="{770CFD39-470D-4BF5-BD46-7583A7E3D95C}">
            <xm:f>NOT(ISERROR(SEARCH($Q$12,AM82)))</xm:f>
            <xm:f>$Q$12</xm:f>
            <x14:dxf>
              <fill>
                <patternFill>
                  <bgColor theme="9" tint="0.59996337778862885"/>
                </patternFill>
              </fill>
            </x14:dxf>
          </x14:cfRule>
          <x14:cfRule type="containsText" priority="9492" operator="containsText" id="{8DD810D3-3FC0-48E9-BEC7-9E8B20D4603B}">
            <xm:f>NOT(ISERROR(SEARCH($Q$12,AM82)))</xm:f>
            <xm:f>$Q$12</xm:f>
            <x14:dxf>
              <fill>
                <patternFill>
                  <bgColor rgb="FFFF0000"/>
                </patternFill>
              </fill>
            </x14:dxf>
          </x14:cfRule>
          <x14:cfRule type="containsText" priority="9491" operator="containsText" id="{B8741EAC-E7D0-47E1-9A7D-C9F36944C81C}">
            <xm:f>NOT(ISERROR(SEARCH($Q$12,AM82)))</xm:f>
            <xm:f>$Q$12</xm:f>
            <x14:dxf>
              <fill>
                <patternFill>
                  <bgColor rgb="FFFFC000"/>
                </patternFill>
              </fill>
            </x14:dxf>
          </x14:cfRule>
          <x14:cfRule type="containsText" priority="9490" operator="containsText" id="{120C0079-BAA0-4392-A607-91C82D624798}">
            <xm:f>NOT(ISERROR(SEARCH($Q$12,AM82)))</xm:f>
            <xm:f>$Q$12</xm:f>
            <x14:dxf>
              <fill>
                <patternFill>
                  <bgColor rgb="FFFFFF00"/>
                </patternFill>
              </fill>
            </x14:dxf>
          </x14:cfRule>
          <xm:sqref>AM82:AN82</xm:sqref>
        </x14:conditionalFormatting>
        <x14:conditionalFormatting xmlns:xm="http://schemas.microsoft.com/office/excel/2006/main">
          <x14:cfRule type="containsText" priority="9481" operator="containsText" id="{864B7834-B8D7-4A36-B2AB-AC6E861C7105}">
            <xm:f>NOT(ISERROR(SEARCH($Q$12,AM92)))</xm:f>
            <xm:f>$Q$12</xm:f>
            <x14:dxf>
              <fill>
                <patternFill>
                  <bgColor rgb="FFFF0000"/>
                </patternFill>
              </fill>
            </x14:dxf>
          </x14:cfRule>
          <x14:cfRule type="containsText" priority="9480" operator="containsText" id="{3FA149E6-21DB-4826-97A3-07783F977D90}">
            <xm:f>NOT(ISERROR(SEARCH($Q$12,AM92)))</xm:f>
            <xm:f>$Q$12</xm:f>
            <x14:dxf>
              <fill>
                <patternFill>
                  <bgColor rgb="FFFFC000"/>
                </patternFill>
              </fill>
            </x14:dxf>
          </x14:cfRule>
          <x14:cfRule type="containsText" priority="9479" operator="containsText" id="{BCBC90C6-DF39-4892-B24E-A873917FFECD}">
            <xm:f>NOT(ISERROR(SEARCH($Q$12,AM92)))</xm:f>
            <xm:f>$Q$12</xm:f>
            <x14:dxf>
              <fill>
                <patternFill>
                  <bgColor rgb="FFFFFF00"/>
                </patternFill>
              </fill>
            </x14:dxf>
          </x14:cfRule>
          <x14:cfRule type="containsText" priority="9478" operator="containsText" id="{12E0C46D-3BB1-4BCB-8C87-42ED160E1ADF}">
            <xm:f>NOT(ISERROR(SEARCH($Q$12,AM92)))</xm:f>
            <xm:f>$Q$12</xm:f>
            <x14:dxf>
              <fill>
                <patternFill>
                  <bgColor theme="9"/>
                </patternFill>
              </fill>
            </x14:dxf>
          </x14:cfRule>
          <x14:cfRule type="containsText" priority="9477" operator="containsText" id="{C5D2B457-AF3D-4F52-AA7E-544AB94A7088}">
            <xm:f>NOT(ISERROR(SEARCH($Q$12,AM92)))</xm:f>
            <xm:f>$Q$12</xm:f>
            <x14:dxf>
              <fill>
                <patternFill>
                  <bgColor theme="9" tint="0.59996337778862885"/>
                </patternFill>
              </fill>
            </x14:dxf>
          </x14:cfRule>
          <x14:cfRule type="containsText" priority="9476" operator="containsText" id="{FB14B768-F087-46CC-B40E-59BF7AA00BFF}">
            <xm:f>NOT(ISERROR(SEARCH($Q$12,AM92)))</xm:f>
            <xm:f>$Q$12</xm:f>
            <x14:dxf>
              <fill>
                <patternFill>
                  <bgColor rgb="FFFF0000"/>
                </patternFill>
              </fill>
            </x14:dxf>
          </x14:cfRule>
          <x14:cfRule type="containsText" priority="9471" operator="containsText" id="{F6067345-1289-4801-AFC2-F09F7192E079}">
            <xm:f>NOT(ISERROR(SEARCH($Q$12,AM92)))</xm:f>
            <xm:f>$Q$12</xm:f>
            <x14:dxf>
              <fill>
                <patternFill>
                  <bgColor theme="9" tint="0.79998168889431442"/>
                </patternFill>
              </fill>
            </x14:dxf>
          </x14:cfRule>
          <x14:cfRule type="containsText" priority="9475" operator="containsText" id="{7CE09261-15D6-4B7D-9BD8-3DC2CC6D9E85}">
            <xm:f>NOT(ISERROR(SEARCH($Q$12,AM92)))</xm:f>
            <xm:f>$Q$12</xm:f>
            <x14:dxf>
              <fill>
                <patternFill>
                  <bgColor rgb="FFFFC000"/>
                </patternFill>
              </fill>
            </x14:dxf>
          </x14:cfRule>
          <x14:cfRule type="containsText" priority="9473" operator="containsText" id="{4A6A0461-2C6D-4BDE-963B-F1E0768A9FC1}">
            <xm:f>NOT(ISERROR(SEARCH($Q$12,AM92)))</xm:f>
            <xm:f>$Q$12</xm:f>
            <x14:dxf>
              <fill>
                <patternFill>
                  <bgColor rgb="FF00B050"/>
                </patternFill>
              </fill>
            </x14:dxf>
          </x14:cfRule>
          <x14:cfRule type="containsText" priority="9472" operator="containsText" id="{3AC8D922-A8DB-4EA6-BD3F-E89E895D8205}">
            <xm:f>NOT(ISERROR(SEARCH($Q$12,AM92)))</xm:f>
            <xm:f>$Q$12</xm:f>
            <x14:dxf>
              <fill>
                <patternFill>
                  <bgColor theme="9" tint="0.39994506668294322"/>
                </patternFill>
              </fill>
            </x14:dxf>
          </x14:cfRule>
          <x14:cfRule type="containsText" priority="9474" operator="containsText" id="{8D641F6D-DA0A-4F35-8AC0-F338F8B9011E}">
            <xm:f>NOT(ISERROR(SEARCH($Q$12,AM92)))</xm:f>
            <xm:f>$Q$12</xm:f>
            <x14:dxf>
              <fill>
                <patternFill>
                  <bgColor rgb="FFFFFF00"/>
                </patternFill>
              </fill>
            </x14:dxf>
          </x14:cfRule>
          <xm:sqref>AM92:AN92</xm:sqref>
        </x14:conditionalFormatting>
        <x14:conditionalFormatting xmlns:xm="http://schemas.microsoft.com/office/excel/2006/main">
          <x14:cfRule type="containsText" priority="9459" operator="containsText" id="{30188067-16E2-4E5F-9AC9-1CAAABCA581F}">
            <xm:f>NOT(ISERROR(SEARCH($Q$12,AM102)))</xm:f>
            <xm:f>$Q$12</xm:f>
            <x14:dxf>
              <fill>
                <patternFill>
                  <bgColor rgb="FFFFC000"/>
                </patternFill>
              </fill>
            </x14:dxf>
          </x14:cfRule>
          <x14:cfRule type="containsText" priority="9460" operator="containsText" id="{454357DC-D1C1-4E93-85F0-2820B2BE37B3}">
            <xm:f>NOT(ISERROR(SEARCH($Q$12,AM102)))</xm:f>
            <xm:f>$Q$12</xm:f>
            <x14:dxf>
              <fill>
                <patternFill>
                  <bgColor rgb="FFFF0000"/>
                </patternFill>
              </fill>
            </x14:dxf>
          </x14:cfRule>
          <x14:cfRule type="containsText" priority="9461" operator="containsText" id="{C71411B1-270E-4615-B04E-69C75E5CFE88}">
            <xm:f>NOT(ISERROR(SEARCH($Q$12,AM102)))</xm:f>
            <xm:f>$Q$12</xm:f>
            <x14:dxf>
              <fill>
                <patternFill>
                  <bgColor theme="9" tint="0.59996337778862885"/>
                </patternFill>
              </fill>
            </x14:dxf>
          </x14:cfRule>
          <x14:cfRule type="containsText" priority="9462" operator="containsText" id="{0CC27372-A12C-43BE-9BDB-8DDF715517B5}">
            <xm:f>NOT(ISERROR(SEARCH($Q$12,AM102)))</xm:f>
            <xm:f>$Q$12</xm:f>
            <x14:dxf>
              <fill>
                <patternFill>
                  <bgColor theme="9"/>
                </patternFill>
              </fill>
            </x14:dxf>
          </x14:cfRule>
          <x14:cfRule type="containsText" priority="9463" operator="containsText" id="{941002CF-3E9D-4E58-9624-A3E0829101BC}">
            <xm:f>NOT(ISERROR(SEARCH($Q$12,AM102)))</xm:f>
            <xm:f>$Q$12</xm:f>
            <x14:dxf>
              <fill>
                <patternFill>
                  <bgColor rgb="FFFFFF00"/>
                </patternFill>
              </fill>
            </x14:dxf>
          </x14:cfRule>
          <x14:cfRule type="containsText" priority="9464" operator="containsText" id="{C99F45F8-1526-49C9-AA9B-5E3FA08086A6}">
            <xm:f>NOT(ISERROR(SEARCH($Q$12,AM102)))</xm:f>
            <xm:f>$Q$12</xm:f>
            <x14:dxf>
              <fill>
                <patternFill>
                  <bgColor rgb="FFFFC000"/>
                </patternFill>
              </fill>
            </x14:dxf>
          </x14:cfRule>
          <x14:cfRule type="containsText" priority="9465" operator="containsText" id="{283C53B4-034A-43BF-AED3-8C44136D687D}">
            <xm:f>NOT(ISERROR(SEARCH($Q$12,AM102)))</xm:f>
            <xm:f>$Q$12</xm:f>
            <x14:dxf>
              <fill>
                <patternFill>
                  <bgColor rgb="FFFF0000"/>
                </patternFill>
              </fill>
            </x14:dxf>
          </x14:cfRule>
          <x14:cfRule type="containsText" priority="9455" operator="containsText" id="{97977DE1-255C-4762-8B63-5EC67EAFF585}">
            <xm:f>NOT(ISERROR(SEARCH($Q$12,AM102)))</xm:f>
            <xm:f>$Q$12</xm:f>
            <x14:dxf>
              <fill>
                <patternFill>
                  <bgColor theme="9" tint="0.79998168889431442"/>
                </patternFill>
              </fill>
            </x14:dxf>
          </x14:cfRule>
          <x14:cfRule type="containsText" priority="9457" operator="containsText" id="{8275C690-055A-4F6B-8302-65B33A82A640}">
            <xm:f>NOT(ISERROR(SEARCH($Q$12,AM102)))</xm:f>
            <xm:f>$Q$12</xm:f>
            <x14:dxf>
              <fill>
                <patternFill>
                  <bgColor rgb="FF00B050"/>
                </patternFill>
              </fill>
            </x14:dxf>
          </x14:cfRule>
          <x14:cfRule type="containsText" priority="9458" operator="containsText" id="{BCD59E0D-1C1C-4789-9CB0-92A2FFFC260A}">
            <xm:f>NOT(ISERROR(SEARCH($Q$12,AM102)))</xm:f>
            <xm:f>$Q$12</xm:f>
            <x14:dxf>
              <fill>
                <patternFill>
                  <bgColor rgb="FFFFFF00"/>
                </patternFill>
              </fill>
            </x14:dxf>
          </x14:cfRule>
          <x14:cfRule type="containsText" priority="9456" operator="containsText" id="{553DBF46-3293-485E-AFE8-56907ABFCC6B}">
            <xm:f>NOT(ISERROR(SEARCH($Q$12,AM102)))</xm:f>
            <xm:f>$Q$12</xm:f>
            <x14:dxf>
              <fill>
                <patternFill>
                  <bgColor theme="9" tint="0.39994506668294322"/>
                </patternFill>
              </fill>
            </x14:dxf>
          </x14:cfRule>
          <xm:sqref>AM102:AN102</xm:sqref>
        </x14:conditionalFormatting>
        <x14:conditionalFormatting xmlns:xm="http://schemas.microsoft.com/office/excel/2006/main">
          <x14:cfRule type="containsText" priority="9440" operator="containsText" id="{D39A43DE-9F10-4D5E-BFDC-22842BC78030}">
            <xm:f>NOT(ISERROR(SEARCH($Q$12,AM112)))</xm:f>
            <xm:f>$Q$12</xm:f>
            <x14:dxf>
              <fill>
                <patternFill>
                  <bgColor theme="9" tint="0.39994506668294322"/>
                </patternFill>
              </fill>
            </x14:dxf>
          </x14:cfRule>
          <x14:cfRule type="containsText" priority="9439" operator="containsText" id="{952B762C-4F5E-41EE-9161-F7B13E721928}">
            <xm:f>NOT(ISERROR(SEARCH($Q$12,AM112)))</xm:f>
            <xm:f>$Q$12</xm:f>
            <x14:dxf>
              <fill>
                <patternFill>
                  <bgColor theme="9" tint="0.79998168889431442"/>
                </patternFill>
              </fill>
            </x14:dxf>
          </x14:cfRule>
          <x14:cfRule type="containsText" priority="9449" operator="containsText" id="{747DE947-1264-4D01-AE0D-C7B837CA5EA7}">
            <xm:f>NOT(ISERROR(SEARCH($Q$12,AM112)))</xm:f>
            <xm:f>$Q$12</xm:f>
            <x14:dxf>
              <fill>
                <patternFill>
                  <bgColor rgb="FFFF0000"/>
                </patternFill>
              </fill>
            </x14:dxf>
          </x14:cfRule>
          <x14:cfRule type="containsText" priority="9448" operator="containsText" id="{AC61893B-03F9-462D-ADB4-0709DEAA6A4C}">
            <xm:f>NOT(ISERROR(SEARCH($Q$12,AM112)))</xm:f>
            <xm:f>$Q$12</xm:f>
            <x14:dxf>
              <fill>
                <patternFill>
                  <bgColor rgb="FFFFC000"/>
                </patternFill>
              </fill>
            </x14:dxf>
          </x14:cfRule>
          <x14:cfRule type="containsText" priority="9441" operator="containsText" id="{50ABFD0C-4B96-4287-B840-5B9647D89823}">
            <xm:f>NOT(ISERROR(SEARCH($Q$12,AM112)))</xm:f>
            <xm:f>$Q$12</xm:f>
            <x14:dxf>
              <fill>
                <patternFill>
                  <bgColor rgb="FF00B050"/>
                </patternFill>
              </fill>
            </x14:dxf>
          </x14:cfRule>
          <x14:cfRule type="containsText" priority="9447" operator="containsText" id="{4A15AE12-CEC7-44BD-8EE5-A3236DA7A5B2}">
            <xm:f>NOT(ISERROR(SEARCH($Q$12,AM112)))</xm:f>
            <xm:f>$Q$12</xm:f>
            <x14:dxf>
              <fill>
                <patternFill>
                  <bgColor rgb="FFFFFF00"/>
                </patternFill>
              </fill>
            </x14:dxf>
          </x14:cfRule>
          <x14:cfRule type="containsText" priority="9446" operator="containsText" id="{493CF23D-EAE1-438C-A637-C6B707D66639}">
            <xm:f>NOT(ISERROR(SEARCH($Q$12,AM112)))</xm:f>
            <xm:f>$Q$12</xm:f>
            <x14:dxf>
              <fill>
                <patternFill>
                  <bgColor theme="9"/>
                </patternFill>
              </fill>
            </x14:dxf>
          </x14:cfRule>
          <x14:cfRule type="containsText" priority="9445" operator="containsText" id="{D03C905B-153E-47B1-BF6A-14A15B21A12B}">
            <xm:f>NOT(ISERROR(SEARCH($Q$12,AM112)))</xm:f>
            <xm:f>$Q$12</xm:f>
            <x14:dxf>
              <fill>
                <patternFill>
                  <bgColor theme="9" tint="0.59996337778862885"/>
                </patternFill>
              </fill>
            </x14:dxf>
          </x14:cfRule>
          <x14:cfRule type="containsText" priority="9444" operator="containsText" id="{6B9DD9DE-DC23-436B-AFF0-C1E8A23E901A}">
            <xm:f>NOT(ISERROR(SEARCH($Q$12,AM112)))</xm:f>
            <xm:f>$Q$12</xm:f>
            <x14:dxf>
              <fill>
                <patternFill>
                  <bgColor rgb="FFFF0000"/>
                </patternFill>
              </fill>
            </x14:dxf>
          </x14:cfRule>
          <x14:cfRule type="containsText" priority="9443" operator="containsText" id="{896BEAFB-211D-4009-A7F5-A42C88651B2E}">
            <xm:f>NOT(ISERROR(SEARCH($Q$12,AM112)))</xm:f>
            <xm:f>$Q$12</xm:f>
            <x14:dxf>
              <fill>
                <patternFill>
                  <bgColor rgb="FFFFC000"/>
                </patternFill>
              </fill>
            </x14:dxf>
          </x14:cfRule>
          <x14:cfRule type="containsText" priority="9442" operator="containsText" id="{EFD215CA-0B5E-4CF3-B25A-358F090EFAF6}">
            <xm:f>NOT(ISERROR(SEARCH($Q$12,AM112)))</xm:f>
            <xm:f>$Q$12</xm:f>
            <x14:dxf>
              <fill>
                <patternFill>
                  <bgColor rgb="FFFFFF00"/>
                </patternFill>
              </fill>
            </x14:dxf>
          </x14:cfRule>
          <xm:sqref>AM112:AN112</xm:sqref>
        </x14:conditionalFormatting>
        <x14:conditionalFormatting xmlns:xm="http://schemas.microsoft.com/office/excel/2006/main">
          <x14:cfRule type="containsText" priority="8807" operator="containsText" id="{71571E9F-7662-4170-97B2-BC424CFB94B1}">
            <xm:f>NOT(ISERROR(SEARCH($Q$12,AM122)))</xm:f>
            <xm:f>$Q$12</xm:f>
            <x14:dxf>
              <fill>
                <patternFill>
                  <bgColor rgb="FFFFFF00"/>
                </patternFill>
              </fill>
            </x14:dxf>
          </x14:cfRule>
          <xm:sqref>AM122:AN122</xm:sqref>
        </x14:conditionalFormatting>
        <x14:conditionalFormatting xmlns:xm="http://schemas.microsoft.com/office/excel/2006/main">
          <x14:cfRule type="containsText" priority="9001" operator="containsText" id="{962C43BE-87D8-44BF-A83B-D357517FA7FA}">
            <xm:f>NOT(ISERROR(SEARCH($Q$12,AM132)))</xm:f>
            <xm:f>$Q$12</xm:f>
            <x14:dxf>
              <fill>
                <patternFill>
                  <bgColor theme="9" tint="0.59996337778862885"/>
                </patternFill>
              </fill>
            </x14:dxf>
          </x14:cfRule>
          <x14:cfRule type="containsText" priority="9002" operator="containsText" id="{61B96E5E-505F-4648-BB49-6506BD074149}">
            <xm:f>NOT(ISERROR(SEARCH($Q$12,AM132)))</xm:f>
            <xm:f>$Q$12</xm:f>
            <x14:dxf>
              <fill>
                <patternFill>
                  <bgColor theme="9"/>
                </patternFill>
              </fill>
            </x14:dxf>
          </x14:cfRule>
          <x14:cfRule type="containsText" priority="9003" operator="containsText" id="{C902E7E7-D0DB-457A-BB99-4B080911E924}">
            <xm:f>NOT(ISERROR(SEARCH($Q$12,AM132)))</xm:f>
            <xm:f>$Q$12</xm:f>
            <x14:dxf>
              <fill>
                <patternFill>
                  <bgColor rgb="FFFFFF00"/>
                </patternFill>
              </fill>
            </x14:dxf>
          </x14:cfRule>
          <x14:cfRule type="containsText" priority="8997" operator="containsText" id="{936FCEDF-166E-4D3A-8AAA-46FFEDE4DBB6}">
            <xm:f>NOT(ISERROR(SEARCH($Q$12,AM132)))</xm:f>
            <xm:f>$Q$12</xm:f>
            <x14:dxf>
              <fill>
                <patternFill>
                  <bgColor rgb="FF00B050"/>
                </patternFill>
              </fill>
            </x14:dxf>
          </x14:cfRule>
          <x14:cfRule type="containsText" priority="8998" operator="containsText" id="{16473154-B732-4CB0-9FB8-6397D9195900}">
            <xm:f>NOT(ISERROR(SEARCH($Q$12,AM132)))</xm:f>
            <xm:f>$Q$12</xm:f>
            <x14:dxf>
              <fill>
                <patternFill>
                  <bgColor rgb="FFFFFF00"/>
                </patternFill>
              </fill>
            </x14:dxf>
          </x14:cfRule>
          <x14:cfRule type="containsText" priority="9005" operator="containsText" id="{E8853055-D0FF-412C-9EDC-C929604D40EC}">
            <xm:f>NOT(ISERROR(SEARCH($Q$12,AM132)))</xm:f>
            <xm:f>$Q$12</xm:f>
            <x14:dxf>
              <fill>
                <patternFill>
                  <bgColor rgb="FFFF0000"/>
                </patternFill>
              </fill>
            </x14:dxf>
          </x14:cfRule>
          <x14:cfRule type="containsText" priority="8995" operator="containsText" id="{AAF0BE4E-F464-43FA-8977-9B0323753473}">
            <xm:f>NOT(ISERROR(SEARCH($Q$12,AM132)))</xm:f>
            <xm:f>$Q$12</xm:f>
            <x14:dxf>
              <fill>
                <patternFill>
                  <bgColor theme="9" tint="0.79998168889431442"/>
                </patternFill>
              </fill>
            </x14:dxf>
          </x14:cfRule>
          <x14:cfRule type="containsText" priority="9004" operator="containsText" id="{89BE40BC-9563-4ED6-8E2E-6C399C113A49}">
            <xm:f>NOT(ISERROR(SEARCH($Q$12,AM132)))</xm:f>
            <xm:f>$Q$12</xm:f>
            <x14:dxf>
              <fill>
                <patternFill>
                  <bgColor rgb="FFFFC000"/>
                </patternFill>
              </fill>
            </x14:dxf>
          </x14:cfRule>
          <x14:cfRule type="containsText" priority="8999" operator="containsText" id="{E095F435-A2DD-46F9-BB98-ABA0B4D9A60D}">
            <xm:f>NOT(ISERROR(SEARCH($Q$12,AM132)))</xm:f>
            <xm:f>$Q$12</xm:f>
            <x14:dxf>
              <fill>
                <patternFill>
                  <bgColor rgb="FFFFC000"/>
                </patternFill>
              </fill>
            </x14:dxf>
          </x14:cfRule>
          <x14:cfRule type="containsText" priority="9000" operator="containsText" id="{74740D1B-8B09-4722-8F9D-C784439B5011}">
            <xm:f>NOT(ISERROR(SEARCH($Q$12,AM132)))</xm:f>
            <xm:f>$Q$12</xm:f>
            <x14:dxf>
              <fill>
                <patternFill>
                  <bgColor rgb="FFFF0000"/>
                </patternFill>
              </fill>
            </x14:dxf>
          </x14:cfRule>
          <x14:cfRule type="containsText" priority="8996" operator="containsText" id="{1EE406E0-3F68-461F-81FA-478D83080CEE}">
            <xm:f>NOT(ISERROR(SEARCH($Q$12,AM132)))</xm:f>
            <xm:f>$Q$12</xm:f>
            <x14:dxf>
              <fill>
                <patternFill>
                  <bgColor theme="9" tint="0.39994506668294322"/>
                </patternFill>
              </fill>
            </x14:dxf>
          </x14:cfRule>
          <xm:sqref>AM132:AN132</xm:sqref>
        </x14:conditionalFormatting>
        <x14:conditionalFormatting xmlns:xm="http://schemas.microsoft.com/office/excel/2006/main">
          <x14:cfRule type="containsText" priority="8983" operator="containsText" id="{7252A821-2004-41B8-B978-569B75851AC0}">
            <xm:f>NOT(ISERROR(SEARCH($Q$12,AM142)))</xm:f>
            <xm:f>$Q$12</xm:f>
            <x14:dxf>
              <fill>
                <patternFill>
                  <bgColor rgb="FFFFC000"/>
                </patternFill>
              </fill>
            </x14:dxf>
          </x14:cfRule>
          <x14:cfRule type="containsText" priority="8982" operator="containsText" id="{48B657AC-6617-42A4-BF0C-89CE2C9086A8}">
            <xm:f>NOT(ISERROR(SEARCH($Q$12,AM142)))</xm:f>
            <xm:f>$Q$12</xm:f>
            <x14:dxf>
              <fill>
                <patternFill>
                  <bgColor rgb="FFFFFF00"/>
                </patternFill>
              </fill>
            </x14:dxf>
          </x14:cfRule>
          <x14:cfRule type="containsText" priority="8981" operator="containsText" id="{9E0995AF-597D-4772-9AB8-8B8779B20BAD}">
            <xm:f>NOT(ISERROR(SEARCH($Q$12,AM142)))</xm:f>
            <xm:f>$Q$12</xm:f>
            <x14:dxf>
              <fill>
                <patternFill>
                  <bgColor rgb="FF00B050"/>
                </patternFill>
              </fill>
            </x14:dxf>
          </x14:cfRule>
          <x14:cfRule type="containsText" priority="8980" operator="containsText" id="{AC40D153-CA28-4B1C-A44F-B10B061B15B5}">
            <xm:f>NOT(ISERROR(SEARCH($Q$12,AM142)))</xm:f>
            <xm:f>$Q$12</xm:f>
            <x14:dxf>
              <fill>
                <patternFill>
                  <bgColor theme="9" tint="0.39994506668294322"/>
                </patternFill>
              </fill>
            </x14:dxf>
          </x14:cfRule>
          <x14:cfRule type="containsText" priority="8979" operator="containsText" id="{064A7418-A317-43FE-899E-EA8D4829DF5E}">
            <xm:f>NOT(ISERROR(SEARCH($Q$12,AM142)))</xm:f>
            <xm:f>$Q$12</xm:f>
            <x14:dxf>
              <fill>
                <patternFill>
                  <bgColor theme="9" tint="0.79998168889431442"/>
                </patternFill>
              </fill>
            </x14:dxf>
          </x14:cfRule>
          <x14:cfRule type="containsText" priority="8988" operator="containsText" id="{64E16D8F-1456-4E25-BF1A-9550E94A1EC2}">
            <xm:f>NOT(ISERROR(SEARCH($Q$12,AM142)))</xm:f>
            <xm:f>$Q$12</xm:f>
            <x14:dxf>
              <fill>
                <patternFill>
                  <bgColor rgb="FFFFC000"/>
                </patternFill>
              </fill>
            </x14:dxf>
          </x14:cfRule>
          <x14:cfRule type="containsText" priority="8989" operator="containsText" id="{805964F4-4ADA-473C-9AC5-E95797A629D3}">
            <xm:f>NOT(ISERROR(SEARCH($Q$12,AM142)))</xm:f>
            <xm:f>$Q$12</xm:f>
            <x14:dxf>
              <fill>
                <patternFill>
                  <bgColor rgb="FFFF0000"/>
                </patternFill>
              </fill>
            </x14:dxf>
          </x14:cfRule>
          <x14:cfRule type="containsText" priority="8987" operator="containsText" id="{2747562F-D195-4CA2-85EE-D11877BAAE21}">
            <xm:f>NOT(ISERROR(SEARCH($Q$12,AM142)))</xm:f>
            <xm:f>$Q$12</xm:f>
            <x14:dxf>
              <fill>
                <patternFill>
                  <bgColor rgb="FFFFFF00"/>
                </patternFill>
              </fill>
            </x14:dxf>
          </x14:cfRule>
          <x14:cfRule type="containsText" priority="8986" operator="containsText" id="{8FABAD19-4597-48F4-AD02-CC988FC7CA77}">
            <xm:f>NOT(ISERROR(SEARCH($Q$12,AM142)))</xm:f>
            <xm:f>$Q$12</xm:f>
            <x14:dxf>
              <fill>
                <patternFill>
                  <bgColor theme="9"/>
                </patternFill>
              </fill>
            </x14:dxf>
          </x14:cfRule>
          <x14:cfRule type="containsText" priority="8985" operator="containsText" id="{B915B445-7EFE-49C8-B449-8B48827380D7}">
            <xm:f>NOT(ISERROR(SEARCH($Q$12,AM142)))</xm:f>
            <xm:f>$Q$12</xm:f>
            <x14:dxf>
              <fill>
                <patternFill>
                  <bgColor theme="9" tint="0.59996337778862885"/>
                </patternFill>
              </fill>
            </x14:dxf>
          </x14:cfRule>
          <x14:cfRule type="containsText" priority="8984" operator="containsText" id="{A1632AF8-87BD-41BE-95FB-E865956D1C9F}">
            <xm:f>NOT(ISERROR(SEARCH($Q$12,AM142)))</xm:f>
            <xm:f>$Q$12</xm:f>
            <x14:dxf>
              <fill>
                <patternFill>
                  <bgColor rgb="FFFF0000"/>
                </patternFill>
              </fill>
            </x14:dxf>
          </x14:cfRule>
          <xm:sqref>AM142:AN142</xm:sqref>
        </x14:conditionalFormatting>
        <x14:conditionalFormatting xmlns:xm="http://schemas.microsoft.com/office/excel/2006/main">
          <x14:cfRule type="containsText" priority="8499" operator="containsText" id="{6D1D3989-D221-4637-8768-C3D4C72B6FB2}">
            <xm:f>NOT(ISERROR(SEARCH($Q$12,AM152)))</xm:f>
            <xm:f>$Q$12</xm:f>
            <x14:dxf>
              <fill>
                <patternFill>
                  <bgColor rgb="FFFFFF00"/>
                </patternFill>
              </fill>
            </x14:dxf>
          </x14:cfRule>
          <xm:sqref>AM152:AN152</xm:sqref>
        </x14:conditionalFormatting>
        <x14:conditionalFormatting xmlns:xm="http://schemas.microsoft.com/office/excel/2006/main">
          <x14:cfRule type="containsText" priority="8687" operator="containsText" id="{8D93A1E0-22A8-4041-B44E-022641D81B14}">
            <xm:f>NOT(ISERROR(SEARCH($Q$12,AM162)))</xm:f>
            <xm:f>$Q$12</xm:f>
            <x14:dxf>
              <fill>
                <patternFill>
                  <bgColor theme="9" tint="0.79998168889431442"/>
                </patternFill>
              </fill>
            </x14:dxf>
          </x14:cfRule>
          <x14:cfRule type="containsText" priority="8692" operator="containsText" id="{392D581C-3A1C-4AF0-B692-6ABB4ACC9802}">
            <xm:f>NOT(ISERROR(SEARCH($Q$12,AM162)))</xm:f>
            <xm:f>$Q$12</xm:f>
            <x14:dxf>
              <fill>
                <patternFill>
                  <bgColor rgb="FFFF0000"/>
                </patternFill>
              </fill>
            </x14:dxf>
          </x14:cfRule>
          <x14:cfRule type="containsText" priority="8688" operator="containsText" id="{D627E68A-C317-4AE3-ACE7-1417D46F2B3C}">
            <xm:f>NOT(ISERROR(SEARCH($Q$12,AM162)))</xm:f>
            <xm:f>$Q$12</xm:f>
            <x14:dxf>
              <fill>
                <patternFill>
                  <bgColor theme="9" tint="0.39994506668294322"/>
                </patternFill>
              </fill>
            </x14:dxf>
          </x14:cfRule>
          <x14:cfRule type="containsText" priority="8689" operator="containsText" id="{7C61A0EC-6D40-4607-9B3D-6A0AF9E02AB5}">
            <xm:f>NOT(ISERROR(SEARCH($Q$12,AM162)))</xm:f>
            <xm:f>$Q$12</xm:f>
            <x14:dxf>
              <fill>
                <patternFill>
                  <bgColor rgb="FF00B050"/>
                </patternFill>
              </fill>
            </x14:dxf>
          </x14:cfRule>
          <x14:cfRule type="containsText" priority="8690" operator="containsText" id="{C5999E09-EDE8-4008-A2BE-B180CC1810FA}">
            <xm:f>NOT(ISERROR(SEARCH($Q$12,AM162)))</xm:f>
            <xm:f>$Q$12</xm:f>
            <x14:dxf>
              <fill>
                <patternFill>
                  <bgColor rgb="FFFFFF00"/>
                </patternFill>
              </fill>
            </x14:dxf>
          </x14:cfRule>
          <x14:cfRule type="containsText" priority="8697" operator="containsText" id="{EE2FDB28-F2A9-4155-B944-E17AA6CBD070}">
            <xm:f>NOT(ISERROR(SEARCH($Q$12,AM162)))</xm:f>
            <xm:f>$Q$12</xm:f>
            <x14:dxf>
              <fill>
                <patternFill>
                  <bgColor rgb="FFFF0000"/>
                </patternFill>
              </fill>
            </x14:dxf>
          </x14:cfRule>
          <x14:cfRule type="containsText" priority="8693" operator="containsText" id="{B2EA686E-701A-4118-B4DC-C19D0D8B7448}">
            <xm:f>NOT(ISERROR(SEARCH($Q$12,AM162)))</xm:f>
            <xm:f>$Q$12</xm:f>
            <x14:dxf>
              <fill>
                <patternFill>
                  <bgColor theme="9" tint="0.59996337778862885"/>
                </patternFill>
              </fill>
            </x14:dxf>
          </x14:cfRule>
          <x14:cfRule type="containsText" priority="8695" operator="containsText" id="{C4BD556B-F64B-4D86-849A-1B1DA9A569B5}">
            <xm:f>NOT(ISERROR(SEARCH($Q$12,AM162)))</xm:f>
            <xm:f>$Q$12</xm:f>
            <x14:dxf>
              <fill>
                <patternFill>
                  <bgColor rgb="FFFFFF00"/>
                </patternFill>
              </fill>
            </x14:dxf>
          </x14:cfRule>
          <x14:cfRule type="containsText" priority="8691" operator="containsText" id="{6A019D23-42F9-4928-A017-B7D1AC5FBF66}">
            <xm:f>NOT(ISERROR(SEARCH($Q$12,AM162)))</xm:f>
            <xm:f>$Q$12</xm:f>
            <x14:dxf>
              <fill>
                <patternFill>
                  <bgColor rgb="FFFFC000"/>
                </patternFill>
              </fill>
            </x14:dxf>
          </x14:cfRule>
          <x14:cfRule type="containsText" priority="8696" operator="containsText" id="{9B294D4B-2D0E-45D9-97EC-4C1DFBA0DA9A}">
            <xm:f>NOT(ISERROR(SEARCH($Q$12,AM162)))</xm:f>
            <xm:f>$Q$12</xm:f>
            <x14:dxf>
              <fill>
                <patternFill>
                  <bgColor rgb="FFFFC000"/>
                </patternFill>
              </fill>
            </x14:dxf>
          </x14:cfRule>
          <x14:cfRule type="containsText" priority="8694" operator="containsText" id="{013AF511-C323-4B9D-B60A-67CE641EDDD3}">
            <xm:f>NOT(ISERROR(SEARCH($Q$12,AM162)))</xm:f>
            <xm:f>$Q$12</xm:f>
            <x14:dxf>
              <fill>
                <patternFill>
                  <bgColor theme="9"/>
                </patternFill>
              </fill>
            </x14:dxf>
          </x14:cfRule>
          <xm:sqref>AM162:AN162</xm:sqref>
        </x14:conditionalFormatting>
        <x14:conditionalFormatting xmlns:xm="http://schemas.microsoft.com/office/excel/2006/main">
          <x14:cfRule type="containsText" priority="8678" operator="containsText" id="{FECE1E8B-114C-403F-A147-79B1C377E4CD}">
            <xm:f>NOT(ISERROR(SEARCH($Q$12,AM172)))</xm:f>
            <xm:f>$Q$12</xm:f>
            <x14:dxf>
              <fill>
                <patternFill>
                  <bgColor theme="9"/>
                </patternFill>
              </fill>
            </x14:dxf>
          </x14:cfRule>
          <x14:cfRule type="containsText" priority="8672" operator="containsText" id="{567A66DE-F6AB-4DFC-95D8-5CCC775F0972}">
            <xm:f>NOT(ISERROR(SEARCH($Q$12,AM172)))</xm:f>
            <xm:f>$Q$12</xm:f>
            <x14:dxf>
              <fill>
                <patternFill>
                  <bgColor theme="9" tint="0.39994506668294322"/>
                </patternFill>
              </fill>
            </x14:dxf>
          </x14:cfRule>
          <x14:cfRule type="containsText" priority="8671" operator="containsText" id="{E20A99E9-38B5-4B77-9D85-563A1E97D629}">
            <xm:f>NOT(ISERROR(SEARCH($Q$12,AM172)))</xm:f>
            <xm:f>$Q$12</xm:f>
            <x14:dxf>
              <fill>
                <patternFill>
                  <bgColor theme="9" tint="0.79998168889431442"/>
                </patternFill>
              </fill>
            </x14:dxf>
          </x14:cfRule>
          <x14:cfRule type="containsText" priority="8675" operator="containsText" id="{B598D4B7-F130-444E-A567-688A8F98B316}">
            <xm:f>NOT(ISERROR(SEARCH($Q$12,AM172)))</xm:f>
            <xm:f>$Q$12</xm:f>
            <x14:dxf>
              <fill>
                <patternFill>
                  <bgColor rgb="FFFFC000"/>
                </patternFill>
              </fill>
            </x14:dxf>
          </x14:cfRule>
          <x14:cfRule type="containsText" priority="8673" operator="containsText" id="{B327A9D6-214C-489B-859F-9C2E13A2F78A}">
            <xm:f>NOT(ISERROR(SEARCH($Q$12,AM172)))</xm:f>
            <xm:f>$Q$12</xm:f>
            <x14:dxf>
              <fill>
                <patternFill>
                  <bgColor rgb="FF00B050"/>
                </patternFill>
              </fill>
            </x14:dxf>
          </x14:cfRule>
          <x14:cfRule type="containsText" priority="8679" operator="containsText" id="{CAB994DF-7EB8-45E3-8168-AE3CCE6EDB39}">
            <xm:f>NOT(ISERROR(SEARCH($Q$12,AM172)))</xm:f>
            <xm:f>$Q$12</xm:f>
            <x14:dxf>
              <fill>
                <patternFill>
                  <bgColor rgb="FFFFFF00"/>
                </patternFill>
              </fill>
            </x14:dxf>
          </x14:cfRule>
          <x14:cfRule type="containsText" priority="8674" operator="containsText" id="{45B66674-A8CC-43BD-9EA9-1357FD3D89FD}">
            <xm:f>NOT(ISERROR(SEARCH($Q$12,AM172)))</xm:f>
            <xm:f>$Q$12</xm:f>
            <x14:dxf>
              <fill>
                <patternFill>
                  <bgColor rgb="FFFFFF00"/>
                </patternFill>
              </fill>
            </x14:dxf>
          </x14:cfRule>
          <x14:cfRule type="containsText" priority="8677" operator="containsText" id="{0CB5F694-2021-484C-9220-8013A805292D}">
            <xm:f>NOT(ISERROR(SEARCH($Q$12,AM172)))</xm:f>
            <xm:f>$Q$12</xm:f>
            <x14:dxf>
              <fill>
                <patternFill>
                  <bgColor theme="9" tint="0.59996337778862885"/>
                </patternFill>
              </fill>
            </x14:dxf>
          </x14:cfRule>
          <x14:cfRule type="containsText" priority="8680" operator="containsText" id="{60DA3400-4A5F-4D89-AF0A-B15CA6599B63}">
            <xm:f>NOT(ISERROR(SEARCH($Q$12,AM172)))</xm:f>
            <xm:f>$Q$12</xm:f>
            <x14:dxf>
              <fill>
                <patternFill>
                  <bgColor rgb="FFFFC000"/>
                </patternFill>
              </fill>
            </x14:dxf>
          </x14:cfRule>
          <x14:cfRule type="containsText" priority="8681" operator="containsText" id="{A930C582-7DBC-49E8-9681-71BB343E877D}">
            <xm:f>NOT(ISERROR(SEARCH($Q$12,AM172)))</xm:f>
            <xm:f>$Q$12</xm:f>
            <x14:dxf>
              <fill>
                <patternFill>
                  <bgColor rgb="FFFF0000"/>
                </patternFill>
              </fill>
            </x14:dxf>
          </x14:cfRule>
          <x14:cfRule type="containsText" priority="8676" operator="containsText" id="{128E8637-D4C0-4E13-AB64-22AC75E066E3}">
            <xm:f>NOT(ISERROR(SEARCH($Q$12,AM172)))</xm:f>
            <xm:f>$Q$12</xm:f>
            <x14:dxf>
              <fill>
                <patternFill>
                  <bgColor rgb="FFFF0000"/>
                </patternFill>
              </fill>
            </x14:dxf>
          </x14:cfRule>
          <xm:sqref>AM172:AN172</xm:sqref>
        </x14:conditionalFormatting>
        <x14:conditionalFormatting xmlns:xm="http://schemas.microsoft.com/office/excel/2006/main">
          <x14:cfRule type="containsText" priority="8191" operator="containsText" id="{C1C00DE7-5D55-49F5-B61E-F3B0D3393EA5}">
            <xm:f>NOT(ISERROR(SEARCH($Q$12,AM182)))</xm:f>
            <xm:f>$Q$12</xm:f>
            <x14:dxf>
              <fill>
                <patternFill>
                  <bgColor rgb="FFFFFF00"/>
                </patternFill>
              </fill>
            </x14:dxf>
          </x14:cfRule>
          <xm:sqref>AM182:AN182</xm:sqref>
        </x14:conditionalFormatting>
        <x14:conditionalFormatting xmlns:xm="http://schemas.microsoft.com/office/excel/2006/main">
          <x14:cfRule type="containsText" priority="8384" operator="containsText" id="{CB9255B5-E8B7-4A78-AC40-115E4A340496}">
            <xm:f>NOT(ISERROR(SEARCH($Q$12,AM192)))</xm:f>
            <xm:f>$Q$12</xm:f>
            <x14:dxf>
              <fill>
                <patternFill>
                  <bgColor rgb="FFFF0000"/>
                </patternFill>
              </fill>
            </x14:dxf>
          </x14:cfRule>
          <x14:cfRule type="containsText" priority="8383" operator="containsText" id="{EB5C888C-1694-45A5-93E2-3A8E251816C5}">
            <xm:f>NOT(ISERROR(SEARCH($Q$12,AM192)))</xm:f>
            <xm:f>$Q$12</xm:f>
            <x14:dxf>
              <fill>
                <patternFill>
                  <bgColor rgb="FFFFC000"/>
                </patternFill>
              </fill>
            </x14:dxf>
          </x14:cfRule>
          <x14:cfRule type="containsText" priority="8387" operator="containsText" id="{A98F9B4C-B926-4703-AA00-97688E08D7B6}">
            <xm:f>NOT(ISERROR(SEARCH($Q$12,AM192)))</xm:f>
            <xm:f>$Q$12</xm:f>
            <x14:dxf>
              <fill>
                <patternFill>
                  <bgColor rgb="FFFFFF00"/>
                </patternFill>
              </fill>
            </x14:dxf>
          </x14:cfRule>
          <x14:cfRule type="containsText" priority="8385" operator="containsText" id="{2D3B4D36-A5B6-415B-8436-DA4E6568D76B}">
            <xm:f>NOT(ISERROR(SEARCH($Q$12,AM192)))</xm:f>
            <xm:f>$Q$12</xm:f>
            <x14:dxf>
              <fill>
                <patternFill>
                  <bgColor theme="9" tint="0.59996337778862885"/>
                </patternFill>
              </fill>
            </x14:dxf>
          </x14:cfRule>
          <x14:cfRule type="containsText" priority="8381" operator="containsText" id="{A0D36129-7512-4E84-A526-DB51BEE0E578}">
            <xm:f>NOT(ISERROR(SEARCH($Q$12,AM192)))</xm:f>
            <xm:f>$Q$12</xm:f>
            <x14:dxf>
              <fill>
                <patternFill>
                  <bgColor rgb="FF00B050"/>
                </patternFill>
              </fill>
            </x14:dxf>
          </x14:cfRule>
          <x14:cfRule type="containsText" priority="8379" operator="containsText" id="{D66B1C32-1AE6-406C-B184-8E877F05A376}">
            <xm:f>NOT(ISERROR(SEARCH($Q$12,AM192)))</xm:f>
            <xm:f>$Q$12</xm:f>
            <x14:dxf>
              <fill>
                <patternFill>
                  <bgColor theme="9" tint="0.79998168889431442"/>
                </patternFill>
              </fill>
            </x14:dxf>
          </x14:cfRule>
          <x14:cfRule type="containsText" priority="8380" operator="containsText" id="{D32FEF4A-E555-496B-9EB4-9E04D62FD4A6}">
            <xm:f>NOT(ISERROR(SEARCH($Q$12,AM192)))</xm:f>
            <xm:f>$Q$12</xm:f>
            <x14:dxf>
              <fill>
                <patternFill>
                  <bgColor theme="9" tint="0.39994506668294322"/>
                </patternFill>
              </fill>
            </x14:dxf>
          </x14:cfRule>
          <x14:cfRule type="containsText" priority="8382" operator="containsText" id="{C43108BA-AC4E-4C6D-82B2-AEB7456B3E71}">
            <xm:f>NOT(ISERROR(SEARCH($Q$12,AM192)))</xm:f>
            <xm:f>$Q$12</xm:f>
            <x14:dxf>
              <fill>
                <patternFill>
                  <bgColor rgb="FFFFFF00"/>
                </patternFill>
              </fill>
            </x14:dxf>
          </x14:cfRule>
          <x14:cfRule type="containsText" priority="8386" operator="containsText" id="{82E919EE-D820-4B06-AF93-F15AC588B440}">
            <xm:f>NOT(ISERROR(SEARCH($Q$12,AM192)))</xm:f>
            <xm:f>$Q$12</xm:f>
            <x14:dxf>
              <fill>
                <patternFill>
                  <bgColor theme="9"/>
                </patternFill>
              </fill>
            </x14:dxf>
          </x14:cfRule>
          <x14:cfRule type="containsText" priority="8389" operator="containsText" id="{D12849D8-EFE7-4E53-8FB7-EA6AEA3210A8}">
            <xm:f>NOT(ISERROR(SEARCH($Q$12,AM192)))</xm:f>
            <xm:f>$Q$12</xm:f>
            <x14:dxf>
              <fill>
                <patternFill>
                  <bgColor rgb="FFFF0000"/>
                </patternFill>
              </fill>
            </x14:dxf>
          </x14:cfRule>
          <x14:cfRule type="containsText" priority="8388" operator="containsText" id="{4D3F588C-142F-4DA9-B66B-E2DD3F914619}">
            <xm:f>NOT(ISERROR(SEARCH($Q$12,AM192)))</xm:f>
            <xm:f>$Q$12</xm:f>
            <x14:dxf>
              <fill>
                <patternFill>
                  <bgColor rgb="FFFFC000"/>
                </patternFill>
              </fill>
            </x14:dxf>
          </x14:cfRule>
          <xm:sqref>AM192:AN192</xm:sqref>
        </x14:conditionalFormatting>
        <x14:conditionalFormatting xmlns:xm="http://schemas.microsoft.com/office/excel/2006/main">
          <x14:cfRule type="containsText" priority="8368" operator="containsText" id="{F642109D-339E-4994-9007-1D33FDF251AA}">
            <xm:f>NOT(ISERROR(SEARCH($Q$12,AM202)))</xm:f>
            <xm:f>$Q$12</xm:f>
            <x14:dxf>
              <fill>
                <patternFill>
                  <bgColor rgb="FFFF0000"/>
                </patternFill>
              </fill>
            </x14:dxf>
          </x14:cfRule>
          <x14:cfRule type="containsText" priority="8367" operator="containsText" id="{9D9208AD-4A0A-495C-9D5A-F16DD017C8F6}">
            <xm:f>NOT(ISERROR(SEARCH($Q$12,AM202)))</xm:f>
            <xm:f>$Q$12</xm:f>
            <x14:dxf>
              <fill>
                <patternFill>
                  <bgColor rgb="FFFFC000"/>
                </patternFill>
              </fill>
            </x14:dxf>
          </x14:cfRule>
          <x14:cfRule type="containsText" priority="8366" operator="containsText" id="{6E796B4E-78D6-4AB3-9A56-B025A144A28C}">
            <xm:f>NOT(ISERROR(SEARCH($Q$12,AM202)))</xm:f>
            <xm:f>$Q$12</xm:f>
            <x14:dxf>
              <fill>
                <patternFill>
                  <bgColor rgb="FFFFFF00"/>
                </patternFill>
              </fill>
            </x14:dxf>
          </x14:cfRule>
          <x14:cfRule type="containsText" priority="8365" operator="containsText" id="{1577AFC9-1F99-4940-808B-E63EED43A5DD}">
            <xm:f>NOT(ISERROR(SEARCH($Q$12,AM202)))</xm:f>
            <xm:f>$Q$12</xm:f>
            <x14:dxf>
              <fill>
                <patternFill>
                  <bgColor rgb="FF00B050"/>
                </patternFill>
              </fill>
            </x14:dxf>
          </x14:cfRule>
          <x14:cfRule type="containsText" priority="8364" operator="containsText" id="{2EBA9235-1539-467D-9579-52E28532AB58}">
            <xm:f>NOT(ISERROR(SEARCH($Q$12,AM202)))</xm:f>
            <xm:f>$Q$12</xm:f>
            <x14:dxf>
              <fill>
                <patternFill>
                  <bgColor theme="9" tint="0.39994506668294322"/>
                </patternFill>
              </fill>
            </x14:dxf>
          </x14:cfRule>
          <x14:cfRule type="containsText" priority="8363" operator="containsText" id="{33153081-5A5D-4F7F-9F13-DE02A3ED281E}">
            <xm:f>NOT(ISERROR(SEARCH($Q$12,AM202)))</xm:f>
            <xm:f>$Q$12</xm:f>
            <x14:dxf>
              <fill>
                <patternFill>
                  <bgColor theme="9" tint="0.79998168889431442"/>
                </patternFill>
              </fill>
            </x14:dxf>
          </x14:cfRule>
          <x14:cfRule type="containsText" priority="8371" operator="containsText" id="{F9E9971C-BFB0-4AA3-9850-B979C26D9333}">
            <xm:f>NOT(ISERROR(SEARCH($Q$12,AM202)))</xm:f>
            <xm:f>$Q$12</xm:f>
            <x14:dxf>
              <fill>
                <patternFill>
                  <bgColor rgb="FFFFFF00"/>
                </patternFill>
              </fill>
            </x14:dxf>
          </x14:cfRule>
          <x14:cfRule type="containsText" priority="8373" operator="containsText" id="{A27848C0-5E3E-4879-9618-D7254B5D665C}">
            <xm:f>NOT(ISERROR(SEARCH($Q$12,AM202)))</xm:f>
            <xm:f>$Q$12</xm:f>
            <x14:dxf>
              <fill>
                <patternFill>
                  <bgColor rgb="FFFF0000"/>
                </patternFill>
              </fill>
            </x14:dxf>
          </x14:cfRule>
          <x14:cfRule type="containsText" priority="8372" operator="containsText" id="{F5F6D3FD-F197-4C77-B619-1957C11E68F5}">
            <xm:f>NOT(ISERROR(SEARCH($Q$12,AM202)))</xm:f>
            <xm:f>$Q$12</xm:f>
            <x14:dxf>
              <fill>
                <patternFill>
                  <bgColor rgb="FFFFC000"/>
                </patternFill>
              </fill>
            </x14:dxf>
          </x14:cfRule>
          <x14:cfRule type="containsText" priority="8370" operator="containsText" id="{5497C9A3-2C27-428B-A7AA-05612CDD1447}">
            <xm:f>NOT(ISERROR(SEARCH($Q$12,AM202)))</xm:f>
            <xm:f>$Q$12</xm:f>
            <x14:dxf>
              <fill>
                <patternFill>
                  <bgColor theme="9"/>
                </patternFill>
              </fill>
            </x14:dxf>
          </x14:cfRule>
          <x14:cfRule type="containsText" priority="8369" operator="containsText" id="{5D412E80-1DCD-49DA-8505-BCEEBC70C879}">
            <xm:f>NOT(ISERROR(SEARCH($Q$12,AM202)))</xm:f>
            <xm:f>$Q$12</xm:f>
            <x14:dxf>
              <fill>
                <patternFill>
                  <bgColor theme="9" tint="0.59996337778862885"/>
                </patternFill>
              </fill>
            </x14:dxf>
          </x14:cfRule>
          <xm:sqref>AM202:AN202</xm:sqref>
        </x14:conditionalFormatting>
        <x14:conditionalFormatting xmlns:xm="http://schemas.microsoft.com/office/excel/2006/main">
          <x14:cfRule type="containsText" priority="7253" operator="containsText" id="{4B922332-C435-4632-9C98-B2E129AC076B}">
            <xm:f>NOT(ISERROR(SEARCH($Q$12,AM212)))</xm:f>
            <xm:f>$Q$12</xm:f>
            <x14:dxf>
              <fill>
                <patternFill>
                  <bgColor rgb="FFFFFF00"/>
                </patternFill>
              </fill>
            </x14:dxf>
          </x14:cfRule>
          <xm:sqref>AM212:AN212</xm:sqref>
        </x14:conditionalFormatting>
        <x14:conditionalFormatting xmlns:xm="http://schemas.microsoft.com/office/excel/2006/main">
          <x14:cfRule type="containsText" priority="8080" operator="containsText" id="{F84FB6F5-750E-4A3B-987F-604B495CA769}">
            <xm:f>NOT(ISERROR(SEARCH($Q$12,AM222)))</xm:f>
            <xm:f>$Q$12</xm:f>
            <x14:dxf>
              <fill>
                <patternFill>
                  <bgColor rgb="FFFFC000"/>
                </patternFill>
              </fill>
            </x14:dxf>
          </x14:cfRule>
          <x14:cfRule type="containsText" priority="8079" operator="containsText" id="{449C328E-8507-4C90-B09A-3E3A6065C168}">
            <xm:f>NOT(ISERROR(SEARCH($Q$12,AM222)))</xm:f>
            <xm:f>$Q$12</xm:f>
            <x14:dxf>
              <fill>
                <patternFill>
                  <bgColor rgb="FFFFFF00"/>
                </patternFill>
              </fill>
            </x14:dxf>
          </x14:cfRule>
          <x14:cfRule type="containsText" priority="8078" operator="containsText" id="{67C76587-79BB-448D-B8DB-A139AC3071C5}">
            <xm:f>NOT(ISERROR(SEARCH($Q$12,AM222)))</xm:f>
            <xm:f>$Q$12</xm:f>
            <x14:dxf>
              <fill>
                <patternFill>
                  <bgColor theme="9"/>
                </patternFill>
              </fill>
            </x14:dxf>
          </x14:cfRule>
          <x14:cfRule type="containsText" priority="8077" operator="containsText" id="{FC36D264-C084-4274-80BD-A6C138A5E8EF}">
            <xm:f>NOT(ISERROR(SEARCH($Q$12,AM222)))</xm:f>
            <xm:f>$Q$12</xm:f>
            <x14:dxf>
              <fill>
                <patternFill>
                  <bgColor theme="9" tint="0.59996337778862885"/>
                </patternFill>
              </fill>
            </x14:dxf>
          </x14:cfRule>
          <x14:cfRule type="containsText" priority="8076" operator="containsText" id="{32F3209D-E343-43C7-AB9F-FAED53DDF50A}">
            <xm:f>NOT(ISERROR(SEARCH($Q$12,AM222)))</xm:f>
            <xm:f>$Q$12</xm:f>
            <x14:dxf>
              <fill>
                <patternFill>
                  <bgColor rgb="FFFF0000"/>
                </patternFill>
              </fill>
            </x14:dxf>
          </x14:cfRule>
          <x14:cfRule type="containsText" priority="8075" operator="containsText" id="{73177C80-21FE-4E5D-9AAD-F3C452706AF1}">
            <xm:f>NOT(ISERROR(SEARCH($Q$12,AM222)))</xm:f>
            <xm:f>$Q$12</xm:f>
            <x14:dxf>
              <fill>
                <patternFill>
                  <bgColor rgb="FFFFC000"/>
                </patternFill>
              </fill>
            </x14:dxf>
          </x14:cfRule>
          <x14:cfRule type="containsText" priority="8073" operator="containsText" id="{AD6E2D75-0BAA-446F-8AE4-AA87988B4060}">
            <xm:f>NOT(ISERROR(SEARCH($Q$12,AM222)))</xm:f>
            <xm:f>$Q$12</xm:f>
            <x14:dxf>
              <fill>
                <patternFill>
                  <bgColor rgb="FF00B050"/>
                </patternFill>
              </fill>
            </x14:dxf>
          </x14:cfRule>
          <x14:cfRule type="containsText" priority="8072" operator="containsText" id="{45C3CC09-7DF9-43BF-8309-464FC73E2B66}">
            <xm:f>NOT(ISERROR(SEARCH($Q$12,AM222)))</xm:f>
            <xm:f>$Q$12</xm:f>
            <x14:dxf>
              <fill>
                <patternFill>
                  <bgColor theme="9" tint="0.39994506668294322"/>
                </patternFill>
              </fill>
            </x14:dxf>
          </x14:cfRule>
          <x14:cfRule type="containsText" priority="8071" operator="containsText" id="{A6D73934-1DDA-45FE-8584-0765554244BD}">
            <xm:f>NOT(ISERROR(SEARCH($Q$12,AM222)))</xm:f>
            <xm:f>$Q$12</xm:f>
            <x14:dxf>
              <fill>
                <patternFill>
                  <bgColor theme="9" tint="0.79998168889431442"/>
                </patternFill>
              </fill>
            </x14:dxf>
          </x14:cfRule>
          <x14:cfRule type="containsText" priority="8081" operator="containsText" id="{267D78C5-5A9A-487F-ABCB-E7D1A27879E9}">
            <xm:f>NOT(ISERROR(SEARCH($Q$12,AM222)))</xm:f>
            <xm:f>$Q$12</xm:f>
            <x14:dxf>
              <fill>
                <patternFill>
                  <bgColor rgb="FFFF0000"/>
                </patternFill>
              </fill>
            </x14:dxf>
          </x14:cfRule>
          <x14:cfRule type="containsText" priority="8074" operator="containsText" id="{38969434-3E7B-48EF-81AC-22D039E825A2}">
            <xm:f>NOT(ISERROR(SEARCH($Q$12,AM222)))</xm:f>
            <xm:f>$Q$12</xm:f>
            <x14:dxf>
              <fill>
                <patternFill>
                  <bgColor rgb="FFFFFF00"/>
                </patternFill>
              </fill>
            </x14:dxf>
          </x14:cfRule>
          <xm:sqref>AM222:AN222</xm:sqref>
        </x14:conditionalFormatting>
        <x14:conditionalFormatting xmlns:xm="http://schemas.microsoft.com/office/excel/2006/main">
          <x14:cfRule type="containsText" priority="8056" operator="containsText" id="{17DD5CB7-937F-4881-BBD0-160D4DB64230}">
            <xm:f>NOT(ISERROR(SEARCH($Q$12,AM232)))</xm:f>
            <xm:f>$Q$12</xm:f>
            <x14:dxf>
              <fill>
                <patternFill>
                  <bgColor theme="9" tint="0.39994506668294322"/>
                </patternFill>
              </fill>
            </x14:dxf>
          </x14:cfRule>
          <x14:cfRule type="containsText" priority="8055" operator="containsText" id="{D96BDB5F-57FA-422F-8D18-458BE8A09F23}">
            <xm:f>NOT(ISERROR(SEARCH($Q$12,AM232)))</xm:f>
            <xm:f>$Q$12</xm:f>
            <x14:dxf>
              <fill>
                <patternFill>
                  <bgColor theme="9" tint="0.79998168889431442"/>
                </patternFill>
              </fill>
            </x14:dxf>
          </x14:cfRule>
          <x14:cfRule type="containsText" priority="8057" operator="containsText" id="{E64E995F-910A-4B3C-AA0F-9EA2AFF00B98}">
            <xm:f>NOT(ISERROR(SEARCH($Q$12,AM232)))</xm:f>
            <xm:f>$Q$12</xm:f>
            <x14:dxf>
              <fill>
                <patternFill>
                  <bgColor rgb="FF00B050"/>
                </patternFill>
              </fill>
            </x14:dxf>
          </x14:cfRule>
          <x14:cfRule type="containsText" priority="8058" operator="containsText" id="{FB9F501D-DC37-403B-B8F5-318F29A90B94}">
            <xm:f>NOT(ISERROR(SEARCH($Q$12,AM232)))</xm:f>
            <xm:f>$Q$12</xm:f>
            <x14:dxf>
              <fill>
                <patternFill>
                  <bgColor rgb="FFFFFF00"/>
                </patternFill>
              </fill>
            </x14:dxf>
          </x14:cfRule>
          <x14:cfRule type="containsText" priority="8059" operator="containsText" id="{5739CE69-D237-4108-9EFA-60FB6EC4B594}">
            <xm:f>NOT(ISERROR(SEARCH($Q$12,AM232)))</xm:f>
            <xm:f>$Q$12</xm:f>
            <x14:dxf>
              <fill>
                <patternFill>
                  <bgColor rgb="FFFFC000"/>
                </patternFill>
              </fill>
            </x14:dxf>
          </x14:cfRule>
          <x14:cfRule type="containsText" priority="8060" operator="containsText" id="{FFBAD92F-A712-4AF6-940F-E86F7665CE30}">
            <xm:f>NOT(ISERROR(SEARCH($Q$12,AM232)))</xm:f>
            <xm:f>$Q$12</xm:f>
            <x14:dxf>
              <fill>
                <patternFill>
                  <bgColor rgb="FFFF0000"/>
                </patternFill>
              </fill>
            </x14:dxf>
          </x14:cfRule>
          <x14:cfRule type="containsText" priority="8061" operator="containsText" id="{14DC747B-3C2E-4CD1-A501-0AC4B7CA66F8}">
            <xm:f>NOT(ISERROR(SEARCH($Q$12,AM232)))</xm:f>
            <xm:f>$Q$12</xm:f>
            <x14:dxf>
              <fill>
                <patternFill>
                  <bgColor theme="9" tint="0.59996337778862885"/>
                </patternFill>
              </fill>
            </x14:dxf>
          </x14:cfRule>
          <x14:cfRule type="containsText" priority="8062" operator="containsText" id="{5BDAB87E-0A1D-40AE-B498-B061FB0ED221}">
            <xm:f>NOT(ISERROR(SEARCH($Q$12,AM232)))</xm:f>
            <xm:f>$Q$12</xm:f>
            <x14:dxf>
              <fill>
                <patternFill>
                  <bgColor theme="9"/>
                </patternFill>
              </fill>
            </x14:dxf>
          </x14:cfRule>
          <x14:cfRule type="containsText" priority="8063" operator="containsText" id="{883F8F5F-A375-4A6E-9D16-2D2EA1C7892C}">
            <xm:f>NOT(ISERROR(SEARCH($Q$12,AM232)))</xm:f>
            <xm:f>$Q$12</xm:f>
            <x14:dxf>
              <fill>
                <patternFill>
                  <bgColor rgb="FFFFFF00"/>
                </patternFill>
              </fill>
            </x14:dxf>
          </x14:cfRule>
          <x14:cfRule type="containsText" priority="8064" operator="containsText" id="{C2A83FAB-0C7F-4288-BE18-E9420E84705D}">
            <xm:f>NOT(ISERROR(SEARCH($Q$12,AM232)))</xm:f>
            <xm:f>$Q$12</xm:f>
            <x14:dxf>
              <fill>
                <patternFill>
                  <bgColor rgb="FFFFC000"/>
                </patternFill>
              </fill>
            </x14:dxf>
          </x14:cfRule>
          <x14:cfRule type="containsText" priority="8065" operator="containsText" id="{44FA56F4-4C99-4E7E-95A4-693C37C8F943}">
            <xm:f>NOT(ISERROR(SEARCH($Q$12,AM232)))</xm:f>
            <xm:f>$Q$12</xm:f>
            <x14:dxf>
              <fill>
                <patternFill>
                  <bgColor rgb="FFFF0000"/>
                </patternFill>
              </fill>
            </x14:dxf>
          </x14:cfRule>
          <xm:sqref>AM232:AN232</xm:sqref>
        </x14:conditionalFormatting>
        <x14:conditionalFormatting xmlns:xm="http://schemas.microsoft.com/office/excel/2006/main">
          <x14:cfRule type="containsText" priority="8048" operator="containsText" id="{F6553DA8-7E42-4008-9171-574EE4669A3C}">
            <xm:f>NOT(ISERROR(SEARCH($Q$12,AM242)))</xm:f>
            <xm:f>$Q$12</xm:f>
            <x14:dxf>
              <fill>
                <patternFill>
                  <bgColor rgb="FFFFC000"/>
                </patternFill>
              </fill>
            </x14:dxf>
          </x14:cfRule>
          <x14:cfRule type="containsText" priority="8042" operator="containsText" id="{A607022E-A543-48C4-8B3A-1FD9A889390F}">
            <xm:f>NOT(ISERROR(SEARCH($Q$12,AM242)))</xm:f>
            <xm:f>$Q$12</xm:f>
            <x14:dxf>
              <fill>
                <patternFill>
                  <bgColor rgb="FFFFFF00"/>
                </patternFill>
              </fill>
            </x14:dxf>
          </x14:cfRule>
          <x14:cfRule type="containsText" priority="8040" operator="containsText" id="{8AE46C84-4171-4DD6-9513-819FB73AB7CC}">
            <xm:f>NOT(ISERROR(SEARCH($Q$12,AM242)))</xm:f>
            <xm:f>$Q$12</xm:f>
            <x14:dxf>
              <fill>
                <patternFill>
                  <bgColor theme="9" tint="0.39994506668294322"/>
                </patternFill>
              </fill>
            </x14:dxf>
          </x14:cfRule>
          <x14:cfRule type="containsText" priority="8041" operator="containsText" id="{C5B17931-F4A7-4DA0-B330-D81A2A13DCD4}">
            <xm:f>NOT(ISERROR(SEARCH($Q$12,AM242)))</xm:f>
            <xm:f>$Q$12</xm:f>
            <x14:dxf>
              <fill>
                <patternFill>
                  <bgColor rgb="FF00B050"/>
                </patternFill>
              </fill>
            </x14:dxf>
          </x14:cfRule>
          <x14:cfRule type="containsText" priority="8049" operator="containsText" id="{E9524620-AB94-4911-A0B7-9B9EBF1111EC}">
            <xm:f>NOT(ISERROR(SEARCH($Q$12,AM242)))</xm:f>
            <xm:f>$Q$12</xm:f>
            <x14:dxf>
              <fill>
                <patternFill>
                  <bgColor rgb="FFFF0000"/>
                </patternFill>
              </fill>
            </x14:dxf>
          </x14:cfRule>
          <x14:cfRule type="containsText" priority="8039" operator="containsText" id="{B6D401BA-F40F-4CB5-9441-50D86579C292}">
            <xm:f>NOT(ISERROR(SEARCH($Q$12,AM242)))</xm:f>
            <xm:f>$Q$12</xm:f>
            <x14:dxf>
              <fill>
                <patternFill>
                  <bgColor theme="9" tint="0.79998168889431442"/>
                </patternFill>
              </fill>
            </x14:dxf>
          </x14:cfRule>
          <x14:cfRule type="containsText" priority="8047" operator="containsText" id="{DC637F0B-970F-4AA5-9603-7666BCAA0929}">
            <xm:f>NOT(ISERROR(SEARCH($Q$12,AM242)))</xm:f>
            <xm:f>$Q$12</xm:f>
            <x14:dxf>
              <fill>
                <patternFill>
                  <bgColor rgb="FFFFFF00"/>
                </patternFill>
              </fill>
            </x14:dxf>
          </x14:cfRule>
          <x14:cfRule type="containsText" priority="8046" operator="containsText" id="{744AF38C-33EE-416C-91AB-2E4C0B34387A}">
            <xm:f>NOT(ISERROR(SEARCH($Q$12,AM242)))</xm:f>
            <xm:f>$Q$12</xm:f>
            <x14:dxf>
              <fill>
                <patternFill>
                  <bgColor theme="9"/>
                </patternFill>
              </fill>
            </x14:dxf>
          </x14:cfRule>
          <x14:cfRule type="containsText" priority="8045" operator="containsText" id="{E3B167E5-D80F-484D-B71B-7EF8976D98C9}">
            <xm:f>NOT(ISERROR(SEARCH($Q$12,AM242)))</xm:f>
            <xm:f>$Q$12</xm:f>
            <x14:dxf>
              <fill>
                <patternFill>
                  <bgColor theme="9" tint="0.59996337778862885"/>
                </patternFill>
              </fill>
            </x14:dxf>
          </x14:cfRule>
          <x14:cfRule type="containsText" priority="8044" operator="containsText" id="{8E80F677-E057-4600-8451-14001CAD0866}">
            <xm:f>NOT(ISERROR(SEARCH($Q$12,AM242)))</xm:f>
            <xm:f>$Q$12</xm:f>
            <x14:dxf>
              <fill>
                <patternFill>
                  <bgColor rgb="FFFF0000"/>
                </patternFill>
              </fill>
            </x14:dxf>
          </x14:cfRule>
          <x14:cfRule type="containsText" priority="8043" operator="containsText" id="{20303ADD-CD6A-4159-9834-0E79301BF1E2}">
            <xm:f>NOT(ISERROR(SEARCH($Q$12,AM242)))</xm:f>
            <xm:f>$Q$12</xm:f>
            <x14:dxf>
              <fill>
                <patternFill>
                  <bgColor rgb="FFFFC000"/>
                </patternFill>
              </fill>
            </x14:dxf>
          </x14:cfRule>
          <xm:sqref>AM242:AN242</xm:sqref>
        </x14:conditionalFormatting>
        <x14:conditionalFormatting xmlns:xm="http://schemas.microsoft.com/office/excel/2006/main">
          <x14:cfRule type="containsText" priority="8028" operator="containsText" id="{466A2D4F-DA1A-4555-9FA2-47680DDCD1F8}">
            <xm:f>NOT(ISERROR(SEARCH($Q$12,AM252)))</xm:f>
            <xm:f>$Q$12</xm:f>
            <x14:dxf>
              <fill>
                <patternFill>
                  <bgColor rgb="FFFF0000"/>
                </patternFill>
              </fill>
            </x14:dxf>
          </x14:cfRule>
          <x14:cfRule type="containsText" priority="8029" operator="containsText" id="{0729C29E-E92D-4EEC-AB20-9F39F257BB95}">
            <xm:f>NOT(ISERROR(SEARCH($Q$12,AM252)))</xm:f>
            <xm:f>$Q$12</xm:f>
            <x14:dxf>
              <fill>
                <patternFill>
                  <bgColor theme="9" tint="0.59996337778862885"/>
                </patternFill>
              </fill>
            </x14:dxf>
          </x14:cfRule>
          <x14:cfRule type="containsText" priority="8024" operator="containsText" id="{B0BCB6A8-B5CB-4262-A869-D69282E7279E}">
            <xm:f>NOT(ISERROR(SEARCH($Q$12,AM252)))</xm:f>
            <xm:f>$Q$12</xm:f>
            <x14:dxf>
              <fill>
                <patternFill>
                  <bgColor theme="9" tint="0.39994506668294322"/>
                </patternFill>
              </fill>
            </x14:dxf>
          </x14:cfRule>
          <x14:cfRule type="containsText" priority="8027" operator="containsText" id="{7C90EB25-CFC4-4308-8DB2-62DC45436F4A}">
            <xm:f>NOT(ISERROR(SEARCH($Q$12,AM252)))</xm:f>
            <xm:f>$Q$12</xm:f>
            <x14:dxf>
              <fill>
                <patternFill>
                  <bgColor rgb="FFFFC000"/>
                </patternFill>
              </fill>
            </x14:dxf>
          </x14:cfRule>
          <x14:cfRule type="containsText" priority="8033" operator="containsText" id="{9BB94552-FAD8-4085-B0A3-2CDAB02E59AF}">
            <xm:f>NOT(ISERROR(SEARCH($Q$12,AM252)))</xm:f>
            <xm:f>$Q$12</xm:f>
            <x14:dxf>
              <fill>
                <patternFill>
                  <bgColor rgb="FFFF0000"/>
                </patternFill>
              </fill>
            </x14:dxf>
          </x14:cfRule>
          <x14:cfRule type="containsText" priority="8025" operator="containsText" id="{A2F5AACC-1936-4809-B475-C847931D2E5A}">
            <xm:f>NOT(ISERROR(SEARCH($Q$12,AM252)))</xm:f>
            <xm:f>$Q$12</xm:f>
            <x14:dxf>
              <fill>
                <patternFill>
                  <bgColor rgb="FF00B050"/>
                </patternFill>
              </fill>
            </x14:dxf>
          </x14:cfRule>
          <x14:cfRule type="containsText" priority="8026" operator="containsText" id="{0F4113A1-558C-406E-9CE5-6C2C87607855}">
            <xm:f>NOT(ISERROR(SEARCH($Q$12,AM252)))</xm:f>
            <xm:f>$Q$12</xm:f>
            <x14:dxf>
              <fill>
                <patternFill>
                  <bgColor rgb="FFFFFF00"/>
                </patternFill>
              </fill>
            </x14:dxf>
          </x14:cfRule>
          <x14:cfRule type="containsText" priority="8030" operator="containsText" id="{2F82C7D7-2F09-4636-9D1D-27E047DEDDC5}">
            <xm:f>NOT(ISERROR(SEARCH($Q$12,AM252)))</xm:f>
            <xm:f>$Q$12</xm:f>
            <x14:dxf>
              <fill>
                <patternFill>
                  <bgColor theme="9"/>
                </patternFill>
              </fill>
            </x14:dxf>
          </x14:cfRule>
          <x14:cfRule type="containsText" priority="8031" operator="containsText" id="{D089D39B-67ED-439B-8420-AA30C9D0642F}">
            <xm:f>NOT(ISERROR(SEARCH($Q$12,AM252)))</xm:f>
            <xm:f>$Q$12</xm:f>
            <x14:dxf>
              <fill>
                <patternFill>
                  <bgColor rgb="FFFFFF00"/>
                </patternFill>
              </fill>
            </x14:dxf>
          </x14:cfRule>
          <x14:cfRule type="containsText" priority="8032" operator="containsText" id="{4B8F1A5E-6792-4252-84D5-5F1963F779A5}">
            <xm:f>NOT(ISERROR(SEARCH($Q$12,AM252)))</xm:f>
            <xm:f>$Q$12</xm:f>
            <x14:dxf>
              <fill>
                <patternFill>
                  <bgColor rgb="FFFFC000"/>
                </patternFill>
              </fill>
            </x14:dxf>
          </x14:cfRule>
          <x14:cfRule type="containsText" priority="8023" operator="containsText" id="{7B1D199F-2040-4C09-A800-76962EE61E56}">
            <xm:f>NOT(ISERROR(SEARCH($Q$12,AM252)))</xm:f>
            <xm:f>$Q$12</xm:f>
            <x14:dxf>
              <fill>
                <patternFill>
                  <bgColor theme="9" tint="0.79998168889431442"/>
                </patternFill>
              </fill>
            </x14:dxf>
          </x14:cfRule>
          <xm:sqref>AM252:AN252</xm:sqref>
        </x14:conditionalFormatting>
        <x14:conditionalFormatting xmlns:xm="http://schemas.microsoft.com/office/excel/2006/main">
          <x14:cfRule type="containsText" priority="8010" operator="containsText" id="{01A7C9FA-914E-4894-99DB-C691E36882FD}">
            <xm:f>NOT(ISERROR(SEARCH($Q$12,AM262)))</xm:f>
            <xm:f>$Q$12</xm:f>
            <x14:dxf>
              <fill>
                <patternFill>
                  <bgColor rgb="FFFFFF00"/>
                </patternFill>
              </fill>
            </x14:dxf>
          </x14:cfRule>
          <x14:cfRule type="containsText" priority="8011" operator="containsText" id="{31FDE9FA-6B1A-40BC-9FF2-2C11600F9941}">
            <xm:f>NOT(ISERROR(SEARCH($Q$12,AM262)))</xm:f>
            <xm:f>$Q$12</xm:f>
            <x14:dxf>
              <fill>
                <patternFill>
                  <bgColor rgb="FFFFC000"/>
                </patternFill>
              </fill>
            </x14:dxf>
          </x14:cfRule>
          <x14:cfRule type="containsText" priority="8007" operator="containsText" id="{7DA46864-3C60-4426-AABB-6B33DBBED999}">
            <xm:f>NOT(ISERROR(SEARCH($Q$12,AM262)))</xm:f>
            <xm:f>$Q$12</xm:f>
            <x14:dxf>
              <fill>
                <patternFill>
                  <bgColor theme="9" tint="0.79998168889431442"/>
                </patternFill>
              </fill>
            </x14:dxf>
          </x14:cfRule>
          <x14:cfRule type="containsText" priority="8012" operator="containsText" id="{04F268A9-6C4D-413E-8440-63C562BB9B29}">
            <xm:f>NOT(ISERROR(SEARCH($Q$12,AM262)))</xm:f>
            <xm:f>$Q$12</xm:f>
            <x14:dxf>
              <fill>
                <patternFill>
                  <bgColor rgb="FFFF0000"/>
                </patternFill>
              </fill>
            </x14:dxf>
          </x14:cfRule>
          <x14:cfRule type="containsText" priority="8013" operator="containsText" id="{166981EB-F9C3-432C-A0B6-B0E7CAE5BC03}">
            <xm:f>NOT(ISERROR(SEARCH($Q$12,AM262)))</xm:f>
            <xm:f>$Q$12</xm:f>
            <x14:dxf>
              <fill>
                <patternFill>
                  <bgColor theme="9" tint="0.59996337778862885"/>
                </patternFill>
              </fill>
            </x14:dxf>
          </x14:cfRule>
          <x14:cfRule type="containsText" priority="8017" operator="containsText" id="{F1484BA0-601D-40D3-BB05-31A04AF14DB1}">
            <xm:f>NOT(ISERROR(SEARCH($Q$12,AM262)))</xm:f>
            <xm:f>$Q$12</xm:f>
            <x14:dxf>
              <fill>
                <patternFill>
                  <bgColor rgb="FFFF0000"/>
                </patternFill>
              </fill>
            </x14:dxf>
          </x14:cfRule>
          <x14:cfRule type="containsText" priority="8008" operator="containsText" id="{93B835CB-CDB7-4C32-A8EC-B2B4201A48FD}">
            <xm:f>NOT(ISERROR(SEARCH($Q$12,AM262)))</xm:f>
            <xm:f>$Q$12</xm:f>
            <x14:dxf>
              <fill>
                <patternFill>
                  <bgColor theme="9" tint="0.39994506668294322"/>
                </patternFill>
              </fill>
            </x14:dxf>
          </x14:cfRule>
          <x14:cfRule type="containsText" priority="8015" operator="containsText" id="{CB3F1E15-8FA4-4C02-B94E-8C3D771ADFDF}">
            <xm:f>NOT(ISERROR(SEARCH($Q$12,AM262)))</xm:f>
            <xm:f>$Q$12</xm:f>
            <x14:dxf>
              <fill>
                <patternFill>
                  <bgColor rgb="FFFFFF00"/>
                </patternFill>
              </fill>
            </x14:dxf>
          </x14:cfRule>
          <x14:cfRule type="containsText" priority="8016" operator="containsText" id="{2641F3C0-FE3A-4057-965D-80DAEB4588BD}">
            <xm:f>NOT(ISERROR(SEARCH($Q$12,AM262)))</xm:f>
            <xm:f>$Q$12</xm:f>
            <x14:dxf>
              <fill>
                <patternFill>
                  <bgColor rgb="FFFFC000"/>
                </patternFill>
              </fill>
            </x14:dxf>
          </x14:cfRule>
          <x14:cfRule type="containsText" priority="8014" operator="containsText" id="{2E2E096C-89B1-4DEA-884E-75FFC9CD854C}">
            <xm:f>NOT(ISERROR(SEARCH($Q$12,AM262)))</xm:f>
            <xm:f>$Q$12</xm:f>
            <x14:dxf>
              <fill>
                <patternFill>
                  <bgColor theme="9"/>
                </patternFill>
              </fill>
            </x14:dxf>
          </x14:cfRule>
          <x14:cfRule type="containsText" priority="8009" operator="containsText" id="{D21E0A41-E038-44BB-BC60-B1A8F6F7843E}">
            <xm:f>NOT(ISERROR(SEARCH($Q$12,AM262)))</xm:f>
            <xm:f>$Q$12</xm:f>
            <x14:dxf>
              <fill>
                <patternFill>
                  <bgColor rgb="FF00B050"/>
                </patternFill>
              </fill>
            </x14:dxf>
          </x14:cfRule>
          <xm:sqref>AM262:AN262</xm:sqref>
        </x14:conditionalFormatting>
        <x14:conditionalFormatting xmlns:xm="http://schemas.microsoft.com/office/excel/2006/main">
          <x14:cfRule type="containsText" priority="7991" operator="containsText" id="{9DE03ABC-EF37-4867-964B-883BD857459D}">
            <xm:f>NOT(ISERROR(SEARCH($Q$12,AM272)))</xm:f>
            <xm:f>$Q$12</xm:f>
            <x14:dxf>
              <fill>
                <patternFill>
                  <bgColor theme="9" tint="0.79998168889431442"/>
                </patternFill>
              </fill>
            </x14:dxf>
          </x14:cfRule>
          <x14:cfRule type="containsText" priority="7993" operator="containsText" id="{44E3B79C-3843-4553-A6CE-4100C4A48CC5}">
            <xm:f>NOT(ISERROR(SEARCH($Q$12,AM272)))</xm:f>
            <xm:f>$Q$12</xm:f>
            <x14:dxf>
              <fill>
                <patternFill>
                  <bgColor rgb="FF00B050"/>
                </patternFill>
              </fill>
            </x14:dxf>
          </x14:cfRule>
          <x14:cfRule type="containsText" priority="7995" operator="containsText" id="{38C27FCD-6BC9-486C-A5CE-2B501EF7202A}">
            <xm:f>NOT(ISERROR(SEARCH($Q$12,AM272)))</xm:f>
            <xm:f>$Q$12</xm:f>
            <x14:dxf>
              <fill>
                <patternFill>
                  <bgColor rgb="FFFFC000"/>
                </patternFill>
              </fill>
            </x14:dxf>
          </x14:cfRule>
          <x14:cfRule type="containsText" priority="7996" operator="containsText" id="{3940B2F9-0A9A-496C-BBA4-1EB42CB5972C}">
            <xm:f>NOT(ISERROR(SEARCH($Q$12,AM272)))</xm:f>
            <xm:f>$Q$12</xm:f>
            <x14:dxf>
              <fill>
                <patternFill>
                  <bgColor rgb="FFFF0000"/>
                </patternFill>
              </fill>
            </x14:dxf>
          </x14:cfRule>
          <x14:cfRule type="containsText" priority="7997" operator="containsText" id="{9A718C73-FE7C-4700-95BA-89F68245A69C}">
            <xm:f>NOT(ISERROR(SEARCH($Q$12,AM272)))</xm:f>
            <xm:f>$Q$12</xm:f>
            <x14:dxf>
              <fill>
                <patternFill>
                  <bgColor theme="9" tint="0.59996337778862885"/>
                </patternFill>
              </fill>
            </x14:dxf>
          </x14:cfRule>
          <x14:cfRule type="containsText" priority="7999" operator="containsText" id="{3BA374F5-19EB-455E-8082-9C9284C43DFA}">
            <xm:f>NOT(ISERROR(SEARCH($Q$12,AM272)))</xm:f>
            <xm:f>$Q$12</xm:f>
            <x14:dxf>
              <fill>
                <patternFill>
                  <bgColor rgb="FFFFFF00"/>
                </patternFill>
              </fill>
            </x14:dxf>
          </x14:cfRule>
          <x14:cfRule type="containsText" priority="7998" operator="containsText" id="{5FCDB139-3975-43E1-9AC4-3A31A9DE78CD}">
            <xm:f>NOT(ISERROR(SEARCH($Q$12,AM272)))</xm:f>
            <xm:f>$Q$12</xm:f>
            <x14:dxf>
              <fill>
                <patternFill>
                  <bgColor theme="9"/>
                </patternFill>
              </fill>
            </x14:dxf>
          </x14:cfRule>
          <x14:cfRule type="containsText" priority="7994" operator="containsText" id="{8A5E1C97-A059-4E9F-B982-EBF0807D7E69}">
            <xm:f>NOT(ISERROR(SEARCH($Q$12,AM272)))</xm:f>
            <xm:f>$Q$12</xm:f>
            <x14:dxf>
              <fill>
                <patternFill>
                  <bgColor rgb="FFFFFF00"/>
                </patternFill>
              </fill>
            </x14:dxf>
          </x14:cfRule>
          <x14:cfRule type="containsText" priority="8000" operator="containsText" id="{222774B0-D5D7-40D8-A65A-0591D9754A7B}">
            <xm:f>NOT(ISERROR(SEARCH($Q$12,AM272)))</xm:f>
            <xm:f>$Q$12</xm:f>
            <x14:dxf>
              <fill>
                <patternFill>
                  <bgColor rgb="FFFFC000"/>
                </patternFill>
              </fill>
            </x14:dxf>
          </x14:cfRule>
          <x14:cfRule type="containsText" priority="7992" operator="containsText" id="{017D957B-8DD5-494F-BD8B-279720FC3611}">
            <xm:f>NOT(ISERROR(SEARCH($Q$12,AM272)))</xm:f>
            <xm:f>$Q$12</xm:f>
            <x14:dxf>
              <fill>
                <patternFill>
                  <bgColor theme="9" tint="0.39994506668294322"/>
                </patternFill>
              </fill>
            </x14:dxf>
          </x14:cfRule>
          <x14:cfRule type="containsText" priority="8001" operator="containsText" id="{21F5B106-8C84-4390-8A1A-712B86126805}">
            <xm:f>NOT(ISERROR(SEARCH($Q$12,AM272)))</xm:f>
            <xm:f>$Q$12</xm:f>
            <x14:dxf>
              <fill>
                <patternFill>
                  <bgColor rgb="FFFF0000"/>
                </patternFill>
              </fill>
            </x14:dxf>
          </x14:cfRule>
          <xm:sqref>AM272:AN272</xm:sqref>
        </x14:conditionalFormatting>
        <x14:conditionalFormatting xmlns:xm="http://schemas.microsoft.com/office/excel/2006/main">
          <x14:cfRule type="containsText" priority="7976" operator="containsText" id="{71ADDCE8-548A-4BE5-9F31-BA5014F2EC45}">
            <xm:f>NOT(ISERROR(SEARCH($Q$12,AM282)))</xm:f>
            <xm:f>$Q$12</xm:f>
            <x14:dxf>
              <fill>
                <patternFill>
                  <bgColor theme="9" tint="0.39994506668294322"/>
                </patternFill>
              </fill>
            </x14:dxf>
          </x14:cfRule>
          <x14:cfRule type="containsText" priority="7975" operator="containsText" id="{CE345689-495D-495C-9DA1-188332AB41E4}">
            <xm:f>NOT(ISERROR(SEARCH($Q$12,AM282)))</xm:f>
            <xm:f>$Q$12</xm:f>
            <x14:dxf>
              <fill>
                <patternFill>
                  <bgColor theme="9" tint="0.79998168889431442"/>
                </patternFill>
              </fill>
            </x14:dxf>
          </x14:cfRule>
          <x14:cfRule type="containsText" priority="7982" operator="containsText" id="{D295791C-A2E0-4143-8E3B-7B6EC26337A9}">
            <xm:f>NOT(ISERROR(SEARCH($Q$12,AM282)))</xm:f>
            <xm:f>$Q$12</xm:f>
            <x14:dxf>
              <fill>
                <patternFill>
                  <bgColor theme="9"/>
                </patternFill>
              </fill>
            </x14:dxf>
          </x14:cfRule>
          <x14:cfRule type="containsText" priority="7983" operator="containsText" id="{178BD143-BD04-4E33-A1AD-56A5CFC0C73A}">
            <xm:f>NOT(ISERROR(SEARCH($Q$12,AM282)))</xm:f>
            <xm:f>$Q$12</xm:f>
            <x14:dxf>
              <fill>
                <patternFill>
                  <bgColor rgb="FFFFFF00"/>
                </patternFill>
              </fill>
            </x14:dxf>
          </x14:cfRule>
          <x14:cfRule type="containsText" priority="7984" operator="containsText" id="{CA264887-64E6-4CAB-9E7F-BBB51EF9C4F9}">
            <xm:f>NOT(ISERROR(SEARCH($Q$12,AM282)))</xm:f>
            <xm:f>$Q$12</xm:f>
            <x14:dxf>
              <fill>
                <patternFill>
                  <bgColor rgb="FFFFC000"/>
                </patternFill>
              </fill>
            </x14:dxf>
          </x14:cfRule>
          <x14:cfRule type="containsText" priority="7985" operator="containsText" id="{C49C5A9E-57AA-49B3-9AB9-5D178FCC136D}">
            <xm:f>NOT(ISERROR(SEARCH($Q$12,AM282)))</xm:f>
            <xm:f>$Q$12</xm:f>
            <x14:dxf>
              <fill>
                <patternFill>
                  <bgColor rgb="FFFF0000"/>
                </patternFill>
              </fill>
            </x14:dxf>
          </x14:cfRule>
          <x14:cfRule type="containsText" priority="7977" operator="containsText" id="{48AF2FED-AEC1-4225-8466-0FDDF6BA321E}">
            <xm:f>NOT(ISERROR(SEARCH($Q$12,AM282)))</xm:f>
            <xm:f>$Q$12</xm:f>
            <x14:dxf>
              <fill>
                <patternFill>
                  <bgColor rgb="FF00B050"/>
                </patternFill>
              </fill>
            </x14:dxf>
          </x14:cfRule>
          <x14:cfRule type="containsText" priority="7979" operator="containsText" id="{5370E6F5-C9DC-4DBE-ADF9-A3C042072350}">
            <xm:f>NOT(ISERROR(SEARCH($Q$12,AM282)))</xm:f>
            <xm:f>$Q$12</xm:f>
            <x14:dxf>
              <fill>
                <patternFill>
                  <bgColor rgb="FFFFC000"/>
                </patternFill>
              </fill>
            </x14:dxf>
          </x14:cfRule>
          <x14:cfRule type="containsText" priority="7980" operator="containsText" id="{23563CAD-8BF1-41F1-9B65-11C0F2F13DA1}">
            <xm:f>NOT(ISERROR(SEARCH($Q$12,AM282)))</xm:f>
            <xm:f>$Q$12</xm:f>
            <x14:dxf>
              <fill>
                <patternFill>
                  <bgColor rgb="FFFF0000"/>
                </patternFill>
              </fill>
            </x14:dxf>
          </x14:cfRule>
          <x14:cfRule type="containsText" priority="7981" operator="containsText" id="{916EAFD4-B254-42D3-A79C-8FFF3AB8C898}">
            <xm:f>NOT(ISERROR(SEARCH($Q$12,AM282)))</xm:f>
            <xm:f>$Q$12</xm:f>
            <x14:dxf>
              <fill>
                <patternFill>
                  <bgColor theme="9" tint="0.59996337778862885"/>
                </patternFill>
              </fill>
            </x14:dxf>
          </x14:cfRule>
          <x14:cfRule type="containsText" priority="7978" operator="containsText" id="{E65630B5-923A-41D1-BDA8-44ACB8C9EDFE}">
            <xm:f>NOT(ISERROR(SEARCH($Q$12,AM282)))</xm:f>
            <xm:f>$Q$12</xm:f>
            <x14:dxf>
              <fill>
                <patternFill>
                  <bgColor rgb="FFFFFF00"/>
                </patternFill>
              </fill>
            </x14:dxf>
          </x14:cfRule>
          <xm:sqref>AM282:AN282</xm:sqref>
        </x14:conditionalFormatting>
        <x14:conditionalFormatting xmlns:xm="http://schemas.microsoft.com/office/excel/2006/main">
          <x14:cfRule type="containsText" priority="7961" operator="containsText" id="{218E23FA-7C50-4D7E-ABEF-231F030447AB}">
            <xm:f>NOT(ISERROR(SEARCH($Q$12,AM292)))</xm:f>
            <xm:f>$Q$12</xm:f>
            <x14:dxf>
              <fill>
                <patternFill>
                  <bgColor rgb="FF00B050"/>
                </patternFill>
              </fill>
            </x14:dxf>
          </x14:cfRule>
          <x14:cfRule type="containsText" priority="7960" operator="containsText" id="{48FA1E6E-3E3F-48D7-A22C-6A35FBE0B12E}">
            <xm:f>NOT(ISERROR(SEARCH($Q$12,AM292)))</xm:f>
            <xm:f>$Q$12</xm:f>
            <x14:dxf>
              <fill>
                <patternFill>
                  <bgColor theme="9" tint="0.39994506668294322"/>
                </patternFill>
              </fill>
            </x14:dxf>
          </x14:cfRule>
          <x14:cfRule type="containsText" priority="7959" operator="containsText" id="{FEBA7F99-FA5F-4B25-9AB6-3B7E31C59185}">
            <xm:f>NOT(ISERROR(SEARCH($Q$12,AM292)))</xm:f>
            <xm:f>$Q$12</xm:f>
            <x14:dxf>
              <fill>
                <patternFill>
                  <bgColor theme="9" tint="0.79998168889431442"/>
                </patternFill>
              </fill>
            </x14:dxf>
          </x14:cfRule>
          <x14:cfRule type="containsText" priority="7969" operator="containsText" id="{4487405B-96F2-4C64-BE5B-64B2E4518F80}">
            <xm:f>NOT(ISERROR(SEARCH($Q$12,AM292)))</xm:f>
            <xm:f>$Q$12</xm:f>
            <x14:dxf>
              <fill>
                <patternFill>
                  <bgColor rgb="FFFF0000"/>
                </patternFill>
              </fill>
            </x14:dxf>
          </x14:cfRule>
          <x14:cfRule type="containsText" priority="7963" operator="containsText" id="{1339DC2B-00C8-443D-9B69-041E3C239F3A}">
            <xm:f>NOT(ISERROR(SEARCH($Q$12,AM292)))</xm:f>
            <xm:f>$Q$12</xm:f>
            <x14:dxf>
              <fill>
                <patternFill>
                  <bgColor rgb="FFFFC000"/>
                </patternFill>
              </fill>
            </x14:dxf>
          </x14:cfRule>
          <x14:cfRule type="containsText" priority="7968" operator="containsText" id="{09F838E3-185A-48E4-8A2E-D6D8FE81C421}">
            <xm:f>NOT(ISERROR(SEARCH($Q$12,AM292)))</xm:f>
            <xm:f>$Q$12</xm:f>
            <x14:dxf>
              <fill>
                <patternFill>
                  <bgColor rgb="FFFFC000"/>
                </patternFill>
              </fill>
            </x14:dxf>
          </x14:cfRule>
          <x14:cfRule type="containsText" priority="7967" operator="containsText" id="{6CD80962-8F1D-4533-BFA1-0A7E54FDADB7}">
            <xm:f>NOT(ISERROR(SEARCH($Q$12,AM292)))</xm:f>
            <xm:f>$Q$12</xm:f>
            <x14:dxf>
              <fill>
                <patternFill>
                  <bgColor rgb="FFFFFF00"/>
                </patternFill>
              </fill>
            </x14:dxf>
          </x14:cfRule>
          <x14:cfRule type="containsText" priority="7966" operator="containsText" id="{3C6B2EE5-79A4-4FC3-A2CD-C2543B821E58}">
            <xm:f>NOT(ISERROR(SEARCH($Q$12,AM292)))</xm:f>
            <xm:f>$Q$12</xm:f>
            <x14:dxf>
              <fill>
                <patternFill>
                  <bgColor theme="9"/>
                </patternFill>
              </fill>
            </x14:dxf>
          </x14:cfRule>
          <x14:cfRule type="containsText" priority="7965" operator="containsText" id="{8802EBB9-1485-4A1B-AAD2-FBAE5272EDA3}">
            <xm:f>NOT(ISERROR(SEARCH($Q$12,AM292)))</xm:f>
            <xm:f>$Q$12</xm:f>
            <x14:dxf>
              <fill>
                <patternFill>
                  <bgColor theme="9" tint="0.59996337778862885"/>
                </patternFill>
              </fill>
            </x14:dxf>
          </x14:cfRule>
          <x14:cfRule type="containsText" priority="7964" operator="containsText" id="{64D6DDF3-CBC0-4D7B-ADCF-34DBCFDC309F}">
            <xm:f>NOT(ISERROR(SEARCH($Q$12,AM292)))</xm:f>
            <xm:f>$Q$12</xm:f>
            <x14:dxf>
              <fill>
                <patternFill>
                  <bgColor rgb="FFFF0000"/>
                </patternFill>
              </fill>
            </x14:dxf>
          </x14:cfRule>
          <x14:cfRule type="containsText" priority="7962" operator="containsText" id="{074BD762-513E-4F02-B9A7-18414A480807}">
            <xm:f>NOT(ISERROR(SEARCH($Q$12,AM292)))</xm:f>
            <xm:f>$Q$12</xm:f>
            <x14:dxf>
              <fill>
                <patternFill>
                  <bgColor rgb="FFFFFF00"/>
                </patternFill>
              </fill>
            </x14:dxf>
          </x14:cfRule>
          <xm:sqref>AM292:AN292</xm:sqref>
        </x14:conditionalFormatting>
        <x14:conditionalFormatting xmlns:xm="http://schemas.microsoft.com/office/excel/2006/main">
          <x14:cfRule type="containsText" priority="7951" operator="containsText" id="{2E672C50-C302-4655-869F-A9569BB3725E}">
            <xm:f>NOT(ISERROR(SEARCH($Q$12,AM302)))</xm:f>
            <xm:f>$Q$12</xm:f>
            <x14:dxf>
              <fill>
                <patternFill>
                  <bgColor rgb="FFFFFF00"/>
                </patternFill>
              </fill>
            </x14:dxf>
          </x14:cfRule>
          <x14:cfRule type="containsText" priority="7946" operator="containsText" id="{DCD44EF9-8828-4882-B8E0-16020CD14F6A}">
            <xm:f>NOT(ISERROR(SEARCH($Q$12,AM302)))</xm:f>
            <xm:f>$Q$12</xm:f>
            <x14:dxf>
              <fill>
                <patternFill>
                  <bgColor rgb="FFFFFF00"/>
                </patternFill>
              </fill>
            </x14:dxf>
          </x14:cfRule>
          <x14:cfRule type="containsText" priority="7945" operator="containsText" id="{F682E497-DF8C-49DB-92C6-5BDCB6EB094C}">
            <xm:f>NOT(ISERROR(SEARCH($Q$12,AM302)))</xm:f>
            <xm:f>$Q$12</xm:f>
            <x14:dxf>
              <fill>
                <patternFill>
                  <bgColor rgb="FF00B050"/>
                </patternFill>
              </fill>
            </x14:dxf>
          </x14:cfRule>
          <x14:cfRule type="containsText" priority="7943" operator="containsText" id="{B42BA2EF-9230-438D-90B5-EB526EB3F05C}">
            <xm:f>NOT(ISERROR(SEARCH($Q$12,AM302)))</xm:f>
            <xm:f>$Q$12</xm:f>
            <x14:dxf>
              <fill>
                <patternFill>
                  <bgColor theme="9" tint="0.79998168889431442"/>
                </patternFill>
              </fill>
            </x14:dxf>
          </x14:cfRule>
          <x14:cfRule type="containsText" priority="7950" operator="containsText" id="{B3511673-402F-4DD9-9651-7CC0136A81BC}">
            <xm:f>NOT(ISERROR(SEARCH($Q$12,AM302)))</xm:f>
            <xm:f>$Q$12</xm:f>
            <x14:dxf>
              <fill>
                <patternFill>
                  <bgColor theme="9"/>
                </patternFill>
              </fill>
            </x14:dxf>
          </x14:cfRule>
          <x14:cfRule type="containsText" priority="7944" operator="containsText" id="{ADFF4745-A6E3-4E83-8D6F-33B27FAE788E}">
            <xm:f>NOT(ISERROR(SEARCH($Q$12,AM302)))</xm:f>
            <xm:f>$Q$12</xm:f>
            <x14:dxf>
              <fill>
                <patternFill>
                  <bgColor theme="9" tint="0.39994506668294322"/>
                </patternFill>
              </fill>
            </x14:dxf>
          </x14:cfRule>
          <x14:cfRule type="containsText" priority="7948" operator="containsText" id="{46844E4B-AB4A-4024-9FE3-C453D67C7A21}">
            <xm:f>NOT(ISERROR(SEARCH($Q$12,AM302)))</xm:f>
            <xm:f>$Q$12</xm:f>
            <x14:dxf>
              <fill>
                <patternFill>
                  <bgColor rgb="FFFF0000"/>
                </patternFill>
              </fill>
            </x14:dxf>
          </x14:cfRule>
          <x14:cfRule type="containsText" priority="7949" operator="containsText" id="{9B5EDD34-145C-4A4B-9EDA-740AFF5481AF}">
            <xm:f>NOT(ISERROR(SEARCH($Q$12,AM302)))</xm:f>
            <xm:f>$Q$12</xm:f>
            <x14:dxf>
              <fill>
                <patternFill>
                  <bgColor theme="9" tint="0.59996337778862885"/>
                </patternFill>
              </fill>
            </x14:dxf>
          </x14:cfRule>
          <x14:cfRule type="containsText" priority="7952" operator="containsText" id="{A59C37B9-40A2-4E13-AC77-6594179D1A15}">
            <xm:f>NOT(ISERROR(SEARCH($Q$12,AM302)))</xm:f>
            <xm:f>$Q$12</xm:f>
            <x14:dxf>
              <fill>
                <patternFill>
                  <bgColor rgb="FFFFC000"/>
                </patternFill>
              </fill>
            </x14:dxf>
          </x14:cfRule>
          <x14:cfRule type="containsText" priority="7953" operator="containsText" id="{9EB5062E-4118-47B6-BF15-2B4A66DC9EAE}">
            <xm:f>NOT(ISERROR(SEARCH($Q$12,AM302)))</xm:f>
            <xm:f>$Q$12</xm:f>
            <x14:dxf>
              <fill>
                <patternFill>
                  <bgColor rgb="FFFF0000"/>
                </patternFill>
              </fill>
            </x14:dxf>
          </x14:cfRule>
          <x14:cfRule type="containsText" priority="7947" operator="containsText" id="{02A584F1-0C87-4D75-92F3-BAB58060B3EC}">
            <xm:f>NOT(ISERROR(SEARCH($Q$12,AM302)))</xm:f>
            <xm:f>$Q$12</xm:f>
            <x14:dxf>
              <fill>
                <patternFill>
                  <bgColor rgb="FFFFC000"/>
                </patternFill>
              </fill>
            </x14:dxf>
          </x14:cfRule>
          <xm:sqref>AM302:AN302</xm:sqref>
        </x14:conditionalFormatting>
        <x14:conditionalFormatting xmlns:xm="http://schemas.microsoft.com/office/excel/2006/main">
          <x14:cfRule type="containsText" priority="7186" operator="containsText" id="{A9BD99F3-DB96-4779-BB67-EF89149F0BCB}">
            <xm:f>NOT(ISERROR(SEARCH($Q$12,AM312)))</xm:f>
            <xm:f>$Q$12</xm:f>
            <x14:dxf>
              <fill>
                <patternFill>
                  <bgColor rgb="FFFFC000"/>
                </patternFill>
              </fill>
            </x14:dxf>
          </x14:cfRule>
          <x14:cfRule type="containsText" priority="7187" operator="containsText" id="{B1E67C14-C7EA-46C0-882E-7E92C2F40548}">
            <xm:f>NOT(ISERROR(SEARCH($Q$12,AM312)))</xm:f>
            <xm:f>$Q$12</xm:f>
            <x14:dxf>
              <fill>
                <patternFill>
                  <bgColor rgb="FFFF0000"/>
                </patternFill>
              </fill>
            </x14:dxf>
          </x14:cfRule>
          <x14:cfRule type="containsText" priority="7181" operator="containsText" id="{0F3F7DF7-28FD-449E-8CC0-459604EC8FE7}">
            <xm:f>NOT(ISERROR(SEARCH($Q$12,AM312)))</xm:f>
            <xm:f>$Q$12</xm:f>
            <x14:dxf>
              <fill>
                <patternFill>
                  <bgColor rgb="FFFFC000"/>
                </patternFill>
              </fill>
            </x14:dxf>
          </x14:cfRule>
          <x14:cfRule type="containsText" priority="7185" operator="containsText" id="{D83EDA64-0596-419B-8262-94D32F9634BE}">
            <xm:f>NOT(ISERROR(SEARCH($Q$12,AM312)))</xm:f>
            <xm:f>$Q$12</xm:f>
            <x14:dxf>
              <fill>
                <patternFill>
                  <bgColor rgb="FFFFFF00"/>
                </patternFill>
              </fill>
            </x14:dxf>
          </x14:cfRule>
          <x14:cfRule type="containsText" priority="7177" operator="containsText" id="{60C64DF9-3B3A-438A-88CC-A2E17DAD67F3}">
            <xm:f>NOT(ISERROR(SEARCH($Q$12,AM312)))</xm:f>
            <xm:f>$Q$12</xm:f>
            <x14:dxf>
              <fill>
                <patternFill>
                  <bgColor theme="9" tint="0.79998168889431442"/>
                </patternFill>
              </fill>
            </x14:dxf>
          </x14:cfRule>
          <x14:cfRule type="containsText" priority="7178" operator="containsText" id="{AB529CCB-FED4-46F5-A676-32D5FD07A985}">
            <xm:f>NOT(ISERROR(SEARCH($Q$12,AM312)))</xm:f>
            <xm:f>$Q$12</xm:f>
            <x14:dxf>
              <fill>
                <patternFill>
                  <bgColor theme="9" tint="0.39994506668294322"/>
                </patternFill>
              </fill>
            </x14:dxf>
          </x14:cfRule>
          <x14:cfRule type="containsText" priority="7179" operator="containsText" id="{54F9A283-C981-42C3-97E6-8C00CCE86630}">
            <xm:f>NOT(ISERROR(SEARCH($Q$12,AM312)))</xm:f>
            <xm:f>$Q$12</xm:f>
            <x14:dxf>
              <fill>
                <patternFill>
                  <bgColor rgb="FF00B050"/>
                </patternFill>
              </fill>
            </x14:dxf>
          </x14:cfRule>
          <x14:cfRule type="containsText" priority="7180" operator="containsText" id="{6F18967E-2484-4E92-9C9D-84AC6263D74D}">
            <xm:f>NOT(ISERROR(SEARCH($Q$12,AM312)))</xm:f>
            <xm:f>$Q$12</xm:f>
            <x14:dxf>
              <fill>
                <patternFill>
                  <bgColor rgb="FFFFFF00"/>
                </patternFill>
              </fill>
            </x14:dxf>
          </x14:cfRule>
          <x14:cfRule type="containsText" priority="7182" operator="containsText" id="{C236C2DF-8892-4B35-9698-A6C7A83072A4}">
            <xm:f>NOT(ISERROR(SEARCH($Q$12,AM312)))</xm:f>
            <xm:f>$Q$12</xm:f>
            <x14:dxf>
              <fill>
                <patternFill>
                  <bgColor rgb="FFFF0000"/>
                </patternFill>
              </fill>
            </x14:dxf>
          </x14:cfRule>
          <x14:cfRule type="containsText" priority="7183" operator="containsText" id="{2FE42F44-2F9F-4A0D-8CFB-D5D145CFC1DD}">
            <xm:f>NOT(ISERROR(SEARCH($Q$12,AM312)))</xm:f>
            <xm:f>$Q$12</xm:f>
            <x14:dxf>
              <fill>
                <patternFill>
                  <bgColor theme="9" tint="0.59996337778862885"/>
                </patternFill>
              </fill>
            </x14:dxf>
          </x14:cfRule>
          <x14:cfRule type="containsText" priority="7184" operator="containsText" id="{185C8EC1-83D1-4AB9-9175-FF0D6DDFF7E3}">
            <xm:f>NOT(ISERROR(SEARCH($Q$12,AM312)))</xm:f>
            <xm:f>$Q$12</xm:f>
            <x14:dxf>
              <fill>
                <patternFill>
                  <bgColor theme="9"/>
                </patternFill>
              </fill>
            </x14:dxf>
          </x14:cfRule>
          <xm:sqref>AM312:AN312</xm:sqref>
        </x14:conditionalFormatting>
        <x14:conditionalFormatting xmlns:xm="http://schemas.microsoft.com/office/excel/2006/main">
          <x14:cfRule type="containsText" priority="6719" operator="containsText" id="{09998742-BDE7-49C2-B09D-0231EE526311}">
            <xm:f>NOT(ISERROR(SEARCH($Q$12,AM322)))</xm:f>
            <xm:f>$Q$12</xm:f>
            <x14:dxf>
              <fill>
                <patternFill>
                  <bgColor rgb="FFFFFF00"/>
                </patternFill>
              </fill>
            </x14:dxf>
          </x14:cfRule>
          <xm:sqref>AM322:AN322</xm:sqref>
        </x14:conditionalFormatting>
        <x14:conditionalFormatting xmlns:xm="http://schemas.microsoft.com/office/excel/2006/main">
          <x14:cfRule type="containsText" priority="6999" operator="containsText" id="{08FF8260-1BC8-4E53-A3B2-D9653BD90017}">
            <xm:f>NOT(ISERROR(SEARCH($Q$12,AM332)))</xm:f>
            <xm:f>$Q$12</xm:f>
            <x14:dxf>
              <fill>
                <patternFill>
                  <bgColor rgb="FF00B050"/>
                </patternFill>
              </fill>
            </x14:dxf>
          </x14:cfRule>
          <x14:cfRule type="containsText" priority="7000" operator="containsText" id="{B03E0AEF-2B99-484E-9126-DC3F0E2E2F78}">
            <xm:f>NOT(ISERROR(SEARCH($Q$12,AM332)))</xm:f>
            <xm:f>$Q$12</xm:f>
            <x14:dxf>
              <fill>
                <patternFill>
                  <bgColor rgb="FFFFFF00"/>
                </patternFill>
              </fill>
            </x14:dxf>
          </x14:cfRule>
          <x14:cfRule type="containsText" priority="7001" operator="containsText" id="{4A7F209F-D524-4DA8-A35E-7CED9CD5FD1D}">
            <xm:f>NOT(ISERROR(SEARCH($Q$12,AM332)))</xm:f>
            <xm:f>$Q$12</xm:f>
            <x14:dxf>
              <fill>
                <patternFill>
                  <bgColor rgb="FFFFC000"/>
                </patternFill>
              </fill>
            </x14:dxf>
          </x14:cfRule>
          <x14:cfRule type="containsText" priority="7006" operator="containsText" id="{CEF66519-1B82-407F-AF0D-8838D7E556D6}">
            <xm:f>NOT(ISERROR(SEARCH($Q$12,AM332)))</xm:f>
            <xm:f>$Q$12</xm:f>
            <x14:dxf>
              <fill>
                <patternFill>
                  <bgColor rgb="FFFFC000"/>
                </patternFill>
              </fill>
            </x14:dxf>
          </x14:cfRule>
          <x14:cfRule type="containsText" priority="6998" operator="containsText" id="{C08AE754-F7A3-4784-9AB3-1988D8B87166}">
            <xm:f>NOT(ISERROR(SEARCH($Q$12,AM332)))</xm:f>
            <xm:f>$Q$12</xm:f>
            <x14:dxf>
              <fill>
                <patternFill>
                  <bgColor theme="9" tint="0.39994506668294322"/>
                </patternFill>
              </fill>
            </x14:dxf>
          </x14:cfRule>
          <x14:cfRule type="containsText" priority="6997" operator="containsText" id="{9459D9D3-5469-4B8F-9562-C0E29EEFCFA0}">
            <xm:f>NOT(ISERROR(SEARCH($Q$12,AM332)))</xm:f>
            <xm:f>$Q$12</xm:f>
            <x14:dxf>
              <fill>
                <patternFill>
                  <bgColor theme="9" tint="0.79998168889431442"/>
                </patternFill>
              </fill>
            </x14:dxf>
          </x14:cfRule>
          <x14:cfRule type="containsText" priority="7004" operator="containsText" id="{58F50C22-97D5-45C1-BEAC-EDC4B10F460D}">
            <xm:f>NOT(ISERROR(SEARCH($Q$12,AM332)))</xm:f>
            <xm:f>$Q$12</xm:f>
            <x14:dxf>
              <fill>
                <patternFill>
                  <bgColor theme="9"/>
                </patternFill>
              </fill>
            </x14:dxf>
          </x14:cfRule>
          <x14:cfRule type="containsText" priority="7007" operator="containsText" id="{84E8D940-F7D9-4990-9837-8E502C7AF3FF}">
            <xm:f>NOT(ISERROR(SEARCH($Q$12,AM332)))</xm:f>
            <xm:f>$Q$12</xm:f>
            <x14:dxf>
              <fill>
                <patternFill>
                  <bgColor rgb="FFFF0000"/>
                </patternFill>
              </fill>
            </x14:dxf>
          </x14:cfRule>
          <x14:cfRule type="containsText" priority="7005" operator="containsText" id="{8E086DFF-F7F8-4E30-B081-21BB034240A5}">
            <xm:f>NOT(ISERROR(SEARCH($Q$12,AM332)))</xm:f>
            <xm:f>$Q$12</xm:f>
            <x14:dxf>
              <fill>
                <patternFill>
                  <bgColor rgb="FFFFFF00"/>
                </patternFill>
              </fill>
            </x14:dxf>
          </x14:cfRule>
          <x14:cfRule type="containsText" priority="7003" operator="containsText" id="{97EDA669-400B-4867-8F60-9E53E3A10D6E}">
            <xm:f>NOT(ISERROR(SEARCH($Q$12,AM332)))</xm:f>
            <xm:f>$Q$12</xm:f>
            <x14:dxf>
              <fill>
                <patternFill>
                  <bgColor theme="9" tint="0.59996337778862885"/>
                </patternFill>
              </fill>
            </x14:dxf>
          </x14:cfRule>
          <x14:cfRule type="containsText" priority="7002" operator="containsText" id="{6981A13D-F75F-4C07-95C0-2DB797875CE0}">
            <xm:f>NOT(ISERROR(SEARCH($Q$12,AM332)))</xm:f>
            <xm:f>$Q$12</xm:f>
            <x14:dxf>
              <fill>
                <patternFill>
                  <bgColor rgb="FFFF0000"/>
                </patternFill>
              </fill>
            </x14:dxf>
          </x14:cfRule>
          <xm:sqref>AM332:AN332</xm:sqref>
        </x14:conditionalFormatting>
        <x14:conditionalFormatting xmlns:xm="http://schemas.microsoft.com/office/excel/2006/main">
          <x14:cfRule type="containsText" priority="6990" operator="containsText" id="{BEE3D8F8-1CB8-47AC-8D5F-1F048EA91B9C}">
            <xm:f>NOT(ISERROR(SEARCH($Q$12,AM342)))</xm:f>
            <xm:f>$Q$12</xm:f>
            <x14:dxf>
              <fill>
                <patternFill>
                  <bgColor rgb="FFFFC000"/>
                </patternFill>
              </fill>
            </x14:dxf>
          </x14:cfRule>
          <x14:cfRule type="containsText" priority="6989" operator="containsText" id="{098D1E1D-5A6E-4380-94CB-02AD1BCA0262}">
            <xm:f>NOT(ISERROR(SEARCH($Q$12,AM342)))</xm:f>
            <xm:f>$Q$12</xm:f>
            <x14:dxf>
              <fill>
                <patternFill>
                  <bgColor rgb="FFFFFF00"/>
                </patternFill>
              </fill>
            </x14:dxf>
          </x14:cfRule>
          <x14:cfRule type="containsText" priority="6988" operator="containsText" id="{2587D029-A07A-45CF-9F9D-4A862DA8ADD0}">
            <xm:f>NOT(ISERROR(SEARCH($Q$12,AM342)))</xm:f>
            <xm:f>$Q$12</xm:f>
            <x14:dxf>
              <fill>
                <patternFill>
                  <bgColor theme="9"/>
                </patternFill>
              </fill>
            </x14:dxf>
          </x14:cfRule>
          <x14:cfRule type="containsText" priority="6987" operator="containsText" id="{BCF739E5-1D26-4140-8FCD-CC0D70678537}">
            <xm:f>NOT(ISERROR(SEARCH($Q$12,AM342)))</xm:f>
            <xm:f>$Q$12</xm:f>
            <x14:dxf>
              <fill>
                <patternFill>
                  <bgColor theme="9" tint="0.59996337778862885"/>
                </patternFill>
              </fill>
            </x14:dxf>
          </x14:cfRule>
          <x14:cfRule type="containsText" priority="6986" operator="containsText" id="{332B8DA0-F00A-4C5F-BCC7-0AC8C5E13E58}">
            <xm:f>NOT(ISERROR(SEARCH($Q$12,AM342)))</xm:f>
            <xm:f>$Q$12</xm:f>
            <x14:dxf>
              <fill>
                <patternFill>
                  <bgColor rgb="FFFF0000"/>
                </patternFill>
              </fill>
            </x14:dxf>
          </x14:cfRule>
          <x14:cfRule type="containsText" priority="6985" operator="containsText" id="{09DDF2E2-F151-4880-899A-4F152A9CF526}">
            <xm:f>NOT(ISERROR(SEARCH($Q$12,AM342)))</xm:f>
            <xm:f>$Q$12</xm:f>
            <x14:dxf>
              <fill>
                <patternFill>
                  <bgColor rgb="FFFFC000"/>
                </patternFill>
              </fill>
            </x14:dxf>
          </x14:cfRule>
          <x14:cfRule type="containsText" priority="6984" operator="containsText" id="{517896FE-BDCF-49E9-B6F4-903676A933D5}">
            <xm:f>NOT(ISERROR(SEARCH($Q$12,AM342)))</xm:f>
            <xm:f>$Q$12</xm:f>
            <x14:dxf>
              <fill>
                <patternFill>
                  <bgColor rgb="FFFFFF00"/>
                </patternFill>
              </fill>
            </x14:dxf>
          </x14:cfRule>
          <x14:cfRule type="containsText" priority="6983" operator="containsText" id="{2786F41C-7FBF-4939-96F5-019905C49EBD}">
            <xm:f>NOT(ISERROR(SEARCH($Q$12,AM342)))</xm:f>
            <xm:f>$Q$12</xm:f>
            <x14:dxf>
              <fill>
                <patternFill>
                  <bgColor rgb="FF00B050"/>
                </patternFill>
              </fill>
            </x14:dxf>
          </x14:cfRule>
          <x14:cfRule type="containsText" priority="6982" operator="containsText" id="{EF0D4153-E9D9-4E85-9FE2-5FFCAAAA775C}">
            <xm:f>NOT(ISERROR(SEARCH($Q$12,AM342)))</xm:f>
            <xm:f>$Q$12</xm:f>
            <x14:dxf>
              <fill>
                <patternFill>
                  <bgColor theme="9" tint="0.39994506668294322"/>
                </patternFill>
              </fill>
            </x14:dxf>
          </x14:cfRule>
          <x14:cfRule type="containsText" priority="6981" operator="containsText" id="{D11A496D-6887-4C93-A6B2-EAFA8AB11A00}">
            <xm:f>NOT(ISERROR(SEARCH($Q$12,AM342)))</xm:f>
            <xm:f>$Q$12</xm:f>
            <x14:dxf>
              <fill>
                <patternFill>
                  <bgColor theme="9" tint="0.79998168889431442"/>
                </patternFill>
              </fill>
            </x14:dxf>
          </x14:cfRule>
          <x14:cfRule type="containsText" priority="6991" operator="containsText" id="{5766E262-C7A7-4BA4-852E-F0E4D4EB0DC1}">
            <xm:f>NOT(ISERROR(SEARCH($Q$12,AM342)))</xm:f>
            <xm:f>$Q$12</xm:f>
            <x14:dxf>
              <fill>
                <patternFill>
                  <bgColor rgb="FFFF0000"/>
                </patternFill>
              </fill>
            </x14:dxf>
          </x14:cfRule>
          <xm:sqref>AM342:AN342</xm:sqref>
        </x14:conditionalFormatting>
        <x14:conditionalFormatting xmlns:xm="http://schemas.microsoft.com/office/excel/2006/main">
          <x14:cfRule type="containsText" priority="6975" operator="containsText" id="{1A0792D4-D7A9-4465-80F2-7AF7BAE2F76F}">
            <xm:f>NOT(ISERROR(SEARCH($Q$12,AM352)))</xm:f>
            <xm:f>$Q$12</xm:f>
            <x14:dxf>
              <fill>
                <patternFill>
                  <bgColor rgb="FFFF0000"/>
                </patternFill>
              </fill>
            </x14:dxf>
          </x14:cfRule>
          <x14:cfRule type="containsText" priority="6968" operator="containsText" id="{D5830252-97B4-4D22-AE2E-CBBE26433318}">
            <xm:f>NOT(ISERROR(SEARCH($Q$12,AM352)))</xm:f>
            <xm:f>$Q$12</xm:f>
            <x14:dxf>
              <fill>
                <patternFill>
                  <bgColor rgb="FFFFFF00"/>
                </patternFill>
              </fill>
            </x14:dxf>
          </x14:cfRule>
          <x14:cfRule type="containsText" priority="6970" operator="containsText" id="{2143537C-6EF6-4F2D-A053-2A5D9DC38F4B}">
            <xm:f>NOT(ISERROR(SEARCH($Q$12,AM352)))</xm:f>
            <xm:f>$Q$12</xm:f>
            <x14:dxf>
              <fill>
                <patternFill>
                  <bgColor rgb="FFFF0000"/>
                </patternFill>
              </fill>
            </x14:dxf>
          </x14:cfRule>
          <x14:cfRule type="containsText" priority="6965" operator="containsText" id="{0DEDD93E-9FAC-48D9-B9AA-FDF55B44A3FE}">
            <xm:f>NOT(ISERROR(SEARCH($Q$12,AM352)))</xm:f>
            <xm:f>$Q$12</xm:f>
            <x14:dxf>
              <fill>
                <patternFill>
                  <bgColor theme="9" tint="0.79998168889431442"/>
                </patternFill>
              </fill>
            </x14:dxf>
          </x14:cfRule>
          <x14:cfRule type="containsText" priority="6969" operator="containsText" id="{811F7D45-2280-462C-930F-CFFD9C913E97}">
            <xm:f>NOT(ISERROR(SEARCH($Q$12,AM352)))</xm:f>
            <xm:f>$Q$12</xm:f>
            <x14:dxf>
              <fill>
                <patternFill>
                  <bgColor rgb="FFFFC000"/>
                </patternFill>
              </fill>
            </x14:dxf>
          </x14:cfRule>
          <x14:cfRule type="containsText" priority="6966" operator="containsText" id="{EF8006E5-12DF-4104-80DB-9CD3C2914D63}">
            <xm:f>NOT(ISERROR(SEARCH($Q$12,AM352)))</xm:f>
            <xm:f>$Q$12</xm:f>
            <x14:dxf>
              <fill>
                <patternFill>
                  <bgColor theme="9" tint="0.39994506668294322"/>
                </patternFill>
              </fill>
            </x14:dxf>
          </x14:cfRule>
          <x14:cfRule type="containsText" priority="6974" operator="containsText" id="{82634A31-C8BA-425F-B564-A2CB343A24C7}">
            <xm:f>NOT(ISERROR(SEARCH($Q$12,AM352)))</xm:f>
            <xm:f>$Q$12</xm:f>
            <x14:dxf>
              <fill>
                <patternFill>
                  <bgColor rgb="FFFFC000"/>
                </patternFill>
              </fill>
            </x14:dxf>
          </x14:cfRule>
          <x14:cfRule type="containsText" priority="6967" operator="containsText" id="{22B7000B-1667-4604-83FE-1EBC83A07331}">
            <xm:f>NOT(ISERROR(SEARCH($Q$12,AM352)))</xm:f>
            <xm:f>$Q$12</xm:f>
            <x14:dxf>
              <fill>
                <patternFill>
                  <bgColor rgb="FF00B050"/>
                </patternFill>
              </fill>
            </x14:dxf>
          </x14:cfRule>
          <x14:cfRule type="containsText" priority="6973" operator="containsText" id="{CFD243A5-3C6D-4873-9D3D-D5E98F7C99E2}">
            <xm:f>NOT(ISERROR(SEARCH($Q$12,AM352)))</xm:f>
            <xm:f>$Q$12</xm:f>
            <x14:dxf>
              <fill>
                <patternFill>
                  <bgColor rgb="FFFFFF00"/>
                </patternFill>
              </fill>
            </x14:dxf>
          </x14:cfRule>
          <x14:cfRule type="containsText" priority="6972" operator="containsText" id="{F69EBA47-6045-41F3-A537-D40441C6C66C}">
            <xm:f>NOT(ISERROR(SEARCH($Q$12,AM352)))</xm:f>
            <xm:f>$Q$12</xm:f>
            <x14:dxf>
              <fill>
                <patternFill>
                  <bgColor theme="9"/>
                </patternFill>
              </fill>
            </x14:dxf>
          </x14:cfRule>
          <x14:cfRule type="containsText" priority="6971" operator="containsText" id="{ABE8D7E2-225C-4A0D-A15C-4E88DD17E12A}">
            <xm:f>NOT(ISERROR(SEARCH($Q$12,AM352)))</xm:f>
            <xm:f>$Q$12</xm:f>
            <x14:dxf>
              <fill>
                <patternFill>
                  <bgColor theme="9" tint="0.59996337778862885"/>
                </patternFill>
              </fill>
            </x14:dxf>
          </x14:cfRule>
          <xm:sqref>AM352:AN352</xm:sqref>
        </x14:conditionalFormatting>
        <x14:conditionalFormatting xmlns:xm="http://schemas.microsoft.com/office/excel/2006/main">
          <x14:cfRule type="containsText" priority="6321" operator="containsText" id="{1D6D31B1-0A08-45B8-8F45-8993CDF416AB}">
            <xm:f>NOT(ISERROR(SEARCH($Q$12,AM362)))</xm:f>
            <xm:f>$Q$12</xm:f>
            <x14:dxf>
              <fill>
                <patternFill>
                  <bgColor rgb="FFFFFF00"/>
                </patternFill>
              </fill>
            </x14:dxf>
          </x14:cfRule>
          <xm:sqref>AM362:AN362</xm:sqref>
        </x14:conditionalFormatting>
        <x14:conditionalFormatting xmlns:xm="http://schemas.microsoft.com/office/excel/2006/main">
          <x14:cfRule type="containsText" priority="6602" operator="containsText" id="{616E2BB3-064B-4811-9CDD-D1ECAACD2DFC}">
            <xm:f>NOT(ISERROR(SEARCH($Q$12,AM372)))</xm:f>
            <xm:f>$Q$12</xm:f>
            <x14:dxf>
              <fill>
                <patternFill>
                  <bgColor rgb="FFFFFF00"/>
                </patternFill>
              </fill>
            </x14:dxf>
          </x14:cfRule>
          <x14:cfRule type="containsText" priority="6601" operator="containsText" id="{2EDA8B83-5F3A-4EA5-A952-5B079E45D393}">
            <xm:f>NOT(ISERROR(SEARCH($Q$12,AM372)))</xm:f>
            <xm:f>$Q$12</xm:f>
            <x14:dxf>
              <fill>
                <patternFill>
                  <bgColor rgb="FF00B050"/>
                </patternFill>
              </fill>
            </x14:dxf>
          </x14:cfRule>
          <x14:cfRule type="containsText" priority="6603" operator="containsText" id="{348D5204-4043-4B10-90A2-F3456862CD35}">
            <xm:f>NOT(ISERROR(SEARCH($Q$12,AM372)))</xm:f>
            <xm:f>$Q$12</xm:f>
            <x14:dxf>
              <fill>
                <patternFill>
                  <bgColor rgb="FFFFC000"/>
                </patternFill>
              </fill>
            </x14:dxf>
          </x14:cfRule>
          <x14:cfRule type="containsText" priority="6600" operator="containsText" id="{B2A12639-F69F-4D3C-8E36-232C3ACA1C4A}">
            <xm:f>NOT(ISERROR(SEARCH($Q$12,AM372)))</xm:f>
            <xm:f>$Q$12</xm:f>
            <x14:dxf>
              <fill>
                <patternFill>
                  <bgColor theme="9" tint="0.39994506668294322"/>
                </patternFill>
              </fill>
            </x14:dxf>
          </x14:cfRule>
          <x14:cfRule type="containsText" priority="6605" operator="containsText" id="{C5D44B18-410A-4DBA-A993-F1F565F1FE11}">
            <xm:f>NOT(ISERROR(SEARCH($Q$12,AM372)))</xm:f>
            <xm:f>$Q$12</xm:f>
            <x14:dxf>
              <fill>
                <patternFill>
                  <bgColor theme="9" tint="0.59996337778862885"/>
                </patternFill>
              </fill>
            </x14:dxf>
          </x14:cfRule>
          <x14:cfRule type="containsText" priority="6606" operator="containsText" id="{1B6BA864-AE3E-426C-9682-A17F54E60341}">
            <xm:f>NOT(ISERROR(SEARCH($Q$12,AM372)))</xm:f>
            <xm:f>$Q$12</xm:f>
            <x14:dxf>
              <fill>
                <patternFill>
                  <bgColor theme="9"/>
                </patternFill>
              </fill>
            </x14:dxf>
          </x14:cfRule>
          <x14:cfRule type="containsText" priority="6599" operator="containsText" id="{EE90EB38-BC6F-4E10-A2EF-91E936C247D0}">
            <xm:f>NOT(ISERROR(SEARCH($Q$12,AM372)))</xm:f>
            <xm:f>$Q$12</xm:f>
            <x14:dxf>
              <fill>
                <patternFill>
                  <bgColor theme="9" tint="0.79998168889431442"/>
                </patternFill>
              </fill>
            </x14:dxf>
          </x14:cfRule>
          <x14:cfRule type="containsText" priority="6607" operator="containsText" id="{BA9AB7A5-AACF-44E6-84F3-69799EFC2104}">
            <xm:f>NOT(ISERROR(SEARCH($Q$12,AM372)))</xm:f>
            <xm:f>$Q$12</xm:f>
            <x14:dxf>
              <fill>
                <patternFill>
                  <bgColor rgb="FFFFFF00"/>
                </patternFill>
              </fill>
            </x14:dxf>
          </x14:cfRule>
          <x14:cfRule type="containsText" priority="6608" operator="containsText" id="{C57ADC4B-5D0D-4C09-87B0-93F5FF3CAE85}">
            <xm:f>NOT(ISERROR(SEARCH($Q$12,AM372)))</xm:f>
            <xm:f>$Q$12</xm:f>
            <x14:dxf>
              <fill>
                <patternFill>
                  <bgColor rgb="FFFFC000"/>
                </patternFill>
              </fill>
            </x14:dxf>
          </x14:cfRule>
          <x14:cfRule type="containsText" priority="6604" operator="containsText" id="{09439E4F-3B27-41FA-A1D9-343B7ABC539E}">
            <xm:f>NOT(ISERROR(SEARCH($Q$12,AM372)))</xm:f>
            <xm:f>$Q$12</xm:f>
            <x14:dxf>
              <fill>
                <patternFill>
                  <bgColor rgb="FFFF0000"/>
                </patternFill>
              </fill>
            </x14:dxf>
          </x14:cfRule>
          <x14:cfRule type="containsText" priority="6609" operator="containsText" id="{CFE10556-46DD-4992-9649-44CED802054A}">
            <xm:f>NOT(ISERROR(SEARCH($Q$12,AM372)))</xm:f>
            <xm:f>$Q$12</xm:f>
            <x14:dxf>
              <fill>
                <patternFill>
                  <bgColor rgb="FFFF0000"/>
                </patternFill>
              </fill>
            </x14:dxf>
          </x14:cfRule>
          <xm:sqref>AM372:AN372</xm:sqref>
        </x14:conditionalFormatting>
        <x14:conditionalFormatting xmlns:xm="http://schemas.microsoft.com/office/excel/2006/main">
          <x14:cfRule type="containsText" priority="6587" operator="containsText" id="{9D056293-2832-40F3-BC79-C9F9A222E6E2}">
            <xm:f>NOT(ISERROR(SEARCH($Q$12,AM382)))</xm:f>
            <xm:f>$Q$12</xm:f>
            <x14:dxf>
              <fill>
                <patternFill>
                  <bgColor rgb="FFFFC000"/>
                </patternFill>
              </fill>
            </x14:dxf>
          </x14:cfRule>
          <x14:cfRule type="containsText" priority="6586" operator="containsText" id="{E5769E75-40AE-4587-B221-00D5EF6F7C02}">
            <xm:f>NOT(ISERROR(SEARCH($Q$12,AM382)))</xm:f>
            <xm:f>$Q$12</xm:f>
            <x14:dxf>
              <fill>
                <patternFill>
                  <bgColor rgb="FFFFFF00"/>
                </patternFill>
              </fill>
            </x14:dxf>
          </x14:cfRule>
          <x14:cfRule type="containsText" priority="6584" operator="containsText" id="{DD74757A-906D-47E9-989D-5B42E436C601}">
            <xm:f>NOT(ISERROR(SEARCH($Q$12,AM382)))</xm:f>
            <xm:f>$Q$12</xm:f>
            <x14:dxf>
              <fill>
                <patternFill>
                  <bgColor theme="9" tint="0.39994506668294322"/>
                </patternFill>
              </fill>
            </x14:dxf>
          </x14:cfRule>
          <x14:cfRule type="containsText" priority="6585" operator="containsText" id="{9F5C9698-5224-489F-8961-775EC54076CE}">
            <xm:f>NOT(ISERROR(SEARCH($Q$12,AM382)))</xm:f>
            <xm:f>$Q$12</xm:f>
            <x14:dxf>
              <fill>
                <patternFill>
                  <bgColor rgb="FF00B050"/>
                </patternFill>
              </fill>
            </x14:dxf>
          </x14:cfRule>
          <x14:cfRule type="containsText" priority="6590" operator="containsText" id="{222A6939-EED7-4FDC-8484-81641C9E3B7B}">
            <xm:f>NOT(ISERROR(SEARCH($Q$12,AM382)))</xm:f>
            <xm:f>$Q$12</xm:f>
            <x14:dxf>
              <fill>
                <patternFill>
                  <bgColor theme="9"/>
                </patternFill>
              </fill>
            </x14:dxf>
          </x14:cfRule>
          <x14:cfRule type="containsText" priority="6583" operator="containsText" id="{865AACE7-3A87-4B6F-960E-122365169153}">
            <xm:f>NOT(ISERROR(SEARCH($Q$12,AM382)))</xm:f>
            <xm:f>$Q$12</xm:f>
            <x14:dxf>
              <fill>
                <patternFill>
                  <bgColor theme="9" tint="0.79998168889431442"/>
                </patternFill>
              </fill>
            </x14:dxf>
          </x14:cfRule>
          <x14:cfRule type="containsText" priority="6593" operator="containsText" id="{26670B4D-BB96-4B52-B726-40A9BFFFC681}">
            <xm:f>NOT(ISERROR(SEARCH($Q$12,AM382)))</xm:f>
            <xm:f>$Q$12</xm:f>
            <x14:dxf>
              <fill>
                <patternFill>
                  <bgColor rgb="FFFF0000"/>
                </patternFill>
              </fill>
            </x14:dxf>
          </x14:cfRule>
          <x14:cfRule type="containsText" priority="6591" operator="containsText" id="{E31CDF7A-759E-4A84-8A17-05E436521B1B}">
            <xm:f>NOT(ISERROR(SEARCH($Q$12,AM382)))</xm:f>
            <xm:f>$Q$12</xm:f>
            <x14:dxf>
              <fill>
                <patternFill>
                  <bgColor rgb="FFFFFF00"/>
                </patternFill>
              </fill>
            </x14:dxf>
          </x14:cfRule>
          <x14:cfRule type="containsText" priority="6589" operator="containsText" id="{955D0D22-7851-4B9D-A143-A99CEF68B348}">
            <xm:f>NOT(ISERROR(SEARCH($Q$12,AM382)))</xm:f>
            <xm:f>$Q$12</xm:f>
            <x14:dxf>
              <fill>
                <patternFill>
                  <bgColor theme="9" tint="0.59996337778862885"/>
                </patternFill>
              </fill>
            </x14:dxf>
          </x14:cfRule>
          <x14:cfRule type="containsText" priority="6592" operator="containsText" id="{0AB879EE-FC0E-450F-90CB-EDA24E20965C}">
            <xm:f>NOT(ISERROR(SEARCH($Q$12,AM382)))</xm:f>
            <xm:f>$Q$12</xm:f>
            <x14:dxf>
              <fill>
                <patternFill>
                  <bgColor rgb="FFFFC000"/>
                </patternFill>
              </fill>
            </x14:dxf>
          </x14:cfRule>
          <x14:cfRule type="containsText" priority="6588" operator="containsText" id="{238C57BE-477B-48BE-9476-666524ED183A}">
            <xm:f>NOT(ISERROR(SEARCH($Q$12,AM382)))</xm:f>
            <xm:f>$Q$12</xm:f>
            <x14:dxf>
              <fill>
                <patternFill>
                  <bgColor rgb="FFFF0000"/>
                </patternFill>
              </fill>
            </x14:dxf>
          </x14:cfRule>
          <xm:sqref>AM382:AN382</xm:sqref>
        </x14:conditionalFormatting>
        <x14:conditionalFormatting xmlns:xm="http://schemas.microsoft.com/office/excel/2006/main">
          <x14:cfRule type="containsText" priority="6577" operator="containsText" id="{EA0D6D9B-D1FF-43CA-B88A-CAE1445ACAD5}">
            <xm:f>NOT(ISERROR(SEARCH($Q$12,AM392)))</xm:f>
            <xm:f>$Q$12</xm:f>
            <x14:dxf>
              <fill>
                <patternFill>
                  <bgColor rgb="FFFF0000"/>
                </patternFill>
              </fill>
            </x14:dxf>
          </x14:cfRule>
          <x14:cfRule type="containsText" priority="6576" operator="containsText" id="{5F841492-DABB-49FA-8BC7-CBD12A5BCAB4}">
            <xm:f>NOT(ISERROR(SEARCH($Q$12,AM392)))</xm:f>
            <xm:f>$Q$12</xm:f>
            <x14:dxf>
              <fill>
                <patternFill>
                  <bgColor rgb="FFFFC000"/>
                </patternFill>
              </fill>
            </x14:dxf>
          </x14:cfRule>
          <x14:cfRule type="containsText" priority="6575" operator="containsText" id="{7477ABE9-FADF-4676-9B63-8FE07582D9DA}">
            <xm:f>NOT(ISERROR(SEARCH($Q$12,AM392)))</xm:f>
            <xm:f>$Q$12</xm:f>
            <x14:dxf>
              <fill>
                <patternFill>
                  <bgColor rgb="FFFFFF00"/>
                </patternFill>
              </fill>
            </x14:dxf>
          </x14:cfRule>
          <x14:cfRule type="containsText" priority="6574" operator="containsText" id="{06718761-77D5-4CEB-890F-47E5DB10DF7D}">
            <xm:f>NOT(ISERROR(SEARCH($Q$12,AM392)))</xm:f>
            <xm:f>$Q$12</xm:f>
            <x14:dxf>
              <fill>
                <patternFill>
                  <bgColor theme="9"/>
                </patternFill>
              </fill>
            </x14:dxf>
          </x14:cfRule>
          <x14:cfRule type="containsText" priority="6573" operator="containsText" id="{CCA9ACB6-8377-42B9-8337-648EA8CCC65D}">
            <xm:f>NOT(ISERROR(SEARCH($Q$12,AM392)))</xm:f>
            <xm:f>$Q$12</xm:f>
            <x14:dxf>
              <fill>
                <patternFill>
                  <bgColor theme="9" tint="0.59996337778862885"/>
                </patternFill>
              </fill>
            </x14:dxf>
          </x14:cfRule>
          <x14:cfRule type="containsText" priority="6572" operator="containsText" id="{93476ED6-FA31-4671-BB2A-223DED581009}">
            <xm:f>NOT(ISERROR(SEARCH($Q$12,AM392)))</xm:f>
            <xm:f>$Q$12</xm:f>
            <x14:dxf>
              <fill>
                <patternFill>
                  <bgColor rgb="FFFF0000"/>
                </patternFill>
              </fill>
            </x14:dxf>
          </x14:cfRule>
          <x14:cfRule type="containsText" priority="6571" operator="containsText" id="{EA3D17FA-CF2D-462E-878B-3E4858D0D7A3}">
            <xm:f>NOT(ISERROR(SEARCH($Q$12,AM392)))</xm:f>
            <xm:f>$Q$12</xm:f>
            <x14:dxf>
              <fill>
                <patternFill>
                  <bgColor rgb="FFFFC000"/>
                </patternFill>
              </fill>
            </x14:dxf>
          </x14:cfRule>
          <x14:cfRule type="containsText" priority="6570" operator="containsText" id="{316BF0D4-FCE9-49AD-ABF7-1EB04B6D9BBF}">
            <xm:f>NOT(ISERROR(SEARCH($Q$12,AM392)))</xm:f>
            <xm:f>$Q$12</xm:f>
            <x14:dxf>
              <fill>
                <patternFill>
                  <bgColor rgb="FFFFFF00"/>
                </patternFill>
              </fill>
            </x14:dxf>
          </x14:cfRule>
          <x14:cfRule type="containsText" priority="6569" operator="containsText" id="{9497BCA9-DBE6-4FC5-BAF0-0B9B8DD2D686}">
            <xm:f>NOT(ISERROR(SEARCH($Q$12,AM392)))</xm:f>
            <xm:f>$Q$12</xm:f>
            <x14:dxf>
              <fill>
                <patternFill>
                  <bgColor rgb="FF00B050"/>
                </patternFill>
              </fill>
            </x14:dxf>
          </x14:cfRule>
          <x14:cfRule type="containsText" priority="6568" operator="containsText" id="{FFD90DB2-8BD2-49EE-B9AD-40CAAE2006B7}">
            <xm:f>NOT(ISERROR(SEARCH($Q$12,AM392)))</xm:f>
            <xm:f>$Q$12</xm:f>
            <x14:dxf>
              <fill>
                <patternFill>
                  <bgColor theme="9" tint="0.39994506668294322"/>
                </patternFill>
              </fill>
            </x14:dxf>
          </x14:cfRule>
          <x14:cfRule type="containsText" priority="6567" operator="containsText" id="{E04E2A1D-E012-47BA-A20E-021F716E2058}">
            <xm:f>NOT(ISERROR(SEARCH($Q$12,AM392)))</xm:f>
            <xm:f>$Q$12</xm:f>
            <x14:dxf>
              <fill>
                <patternFill>
                  <bgColor theme="9" tint="0.79998168889431442"/>
                </patternFill>
              </fill>
            </x14:dxf>
          </x14:cfRule>
          <xm:sqref>AM392:AN392</xm:sqref>
        </x14:conditionalFormatting>
        <x14:conditionalFormatting xmlns:xm="http://schemas.microsoft.com/office/excel/2006/main">
          <x14:cfRule type="containsText" priority="6103" operator="containsText" id="{1F6A31C6-8A51-487E-9129-24AAC53B0831}">
            <xm:f>NOT(ISERROR(SEARCH($Q$12,AM402)))</xm:f>
            <xm:f>$Q$12</xm:f>
            <x14:dxf>
              <fill>
                <patternFill>
                  <bgColor rgb="FFFFFF00"/>
                </patternFill>
              </fill>
            </x14:dxf>
          </x14:cfRule>
          <xm:sqref>AM402:AN402</xm:sqref>
        </x14:conditionalFormatting>
        <x14:conditionalFormatting xmlns:xm="http://schemas.microsoft.com/office/excel/2006/main">
          <x14:cfRule type="containsText" priority="6202" operator="containsText" id="{C655C4FF-FDBE-4F81-92BB-6E443B02592B}">
            <xm:f>NOT(ISERROR(SEARCH($Q$12,AM412)))</xm:f>
            <xm:f>$Q$12</xm:f>
            <x14:dxf>
              <fill>
                <patternFill>
                  <bgColor theme="9" tint="0.39994506668294322"/>
                </patternFill>
              </fill>
            </x14:dxf>
          </x14:cfRule>
          <x14:cfRule type="containsText" priority="6203" operator="containsText" id="{C5D33BBB-994C-4549-8954-AF8DCCFA8275}">
            <xm:f>NOT(ISERROR(SEARCH($Q$12,AM412)))</xm:f>
            <xm:f>$Q$12</xm:f>
            <x14:dxf>
              <fill>
                <patternFill>
                  <bgColor rgb="FF00B050"/>
                </patternFill>
              </fill>
            </x14:dxf>
          </x14:cfRule>
          <x14:cfRule type="containsText" priority="6204" operator="containsText" id="{9759F482-BADD-4132-8B96-7A7B778539F4}">
            <xm:f>NOT(ISERROR(SEARCH($Q$12,AM412)))</xm:f>
            <xm:f>$Q$12</xm:f>
            <x14:dxf>
              <fill>
                <patternFill>
                  <bgColor rgb="FFFFFF00"/>
                </patternFill>
              </fill>
            </x14:dxf>
          </x14:cfRule>
          <x14:cfRule type="containsText" priority="6205" operator="containsText" id="{B4CD6F3C-6889-48EA-8C79-C768A42B0358}">
            <xm:f>NOT(ISERROR(SEARCH($Q$12,AM412)))</xm:f>
            <xm:f>$Q$12</xm:f>
            <x14:dxf>
              <fill>
                <patternFill>
                  <bgColor rgb="FFFFC000"/>
                </patternFill>
              </fill>
            </x14:dxf>
          </x14:cfRule>
          <x14:cfRule type="containsText" priority="6206" operator="containsText" id="{C105CD70-B9D2-4170-BAA7-2C013E84C4FF}">
            <xm:f>NOT(ISERROR(SEARCH($Q$12,AM412)))</xm:f>
            <xm:f>$Q$12</xm:f>
            <x14:dxf>
              <fill>
                <patternFill>
                  <bgColor rgb="FFFF0000"/>
                </patternFill>
              </fill>
            </x14:dxf>
          </x14:cfRule>
          <x14:cfRule type="containsText" priority="6207" operator="containsText" id="{852AF362-E6CF-43AE-BCDA-7D62BA013BA1}">
            <xm:f>NOT(ISERROR(SEARCH($Q$12,AM412)))</xm:f>
            <xm:f>$Q$12</xm:f>
            <x14:dxf>
              <fill>
                <patternFill>
                  <bgColor theme="9" tint="0.59996337778862885"/>
                </patternFill>
              </fill>
            </x14:dxf>
          </x14:cfRule>
          <x14:cfRule type="containsText" priority="6208" operator="containsText" id="{C6B40D65-6F51-40FE-810F-FC9255EA8D37}">
            <xm:f>NOT(ISERROR(SEARCH($Q$12,AM412)))</xm:f>
            <xm:f>$Q$12</xm:f>
            <x14:dxf>
              <fill>
                <patternFill>
                  <bgColor theme="9"/>
                </patternFill>
              </fill>
            </x14:dxf>
          </x14:cfRule>
          <x14:cfRule type="containsText" priority="6211" operator="containsText" id="{4AAA1BD2-9893-4779-8FB7-0E37BE8B9843}">
            <xm:f>NOT(ISERROR(SEARCH($Q$12,AM412)))</xm:f>
            <xm:f>$Q$12</xm:f>
            <x14:dxf>
              <fill>
                <patternFill>
                  <bgColor rgb="FFFF0000"/>
                </patternFill>
              </fill>
            </x14:dxf>
          </x14:cfRule>
          <x14:cfRule type="containsText" priority="6210" operator="containsText" id="{D039F30D-F7A2-4FEF-8B84-4EB9FBB47651}">
            <xm:f>NOT(ISERROR(SEARCH($Q$12,AM412)))</xm:f>
            <xm:f>$Q$12</xm:f>
            <x14:dxf>
              <fill>
                <patternFill>
                  <bgColor rgb="FFFFC000"/>
                </patternFill>
              </fill>
            </x14:dxf>
          </x14:cfRule>
          <x14:cfRule type="containsText" priority="6201" operator="containsText" id="{95767B98-BEE4-4E12-897D-55D9847BE01F}">
            <xm:f>NOT(ISERROR(SEARCH($Q$12,AM412)))</xm:f>
            <xm:f>$Q$12</xm:f>
            <x14:dxf>
              <fill>
                <patternFill>
                  <bgColor theme="9" tint="0.79998168889431442"/>
                </patternFill>
              </fill>
            </x14:dxf>
          </x14:cfRule>
          <x14:cfRule type="containsText" priority="6209" operator="containsText" id="{DF3DBBE5-1B74-4EE0-AC2A-965CB3AD1FFB}">
            <xm:f>NOT(ISERROR(SEARCH($Q$12,AM412)))</xm:f>
            <xm:f>$Q$12</xm:f>
            <x14:dxf>
              <fill>
                <patternFill>
                  <bgColor rgb="FFFFFF00"/>
                </patternFill>
              </fill>
            </x14:dxf>
          </x14:cfRule>
          <xm:sqref>AM412:AN412</xm:sqref>
        </x14:conditionalFormatting>
        <x14:conditionalFormatting xmlns:xm="http://schemas.microsoft.com/office/excel/2006/main">
          <x14:cfRule type="containsText" priority="5885" operator="containsText" id="{15082980-0413-49ED-96F9-E55B7BC5571A}">
            <xm:f>NOT(ISERROR(SEARCH($Q$12,AM422)))</xm:f>
            <xm:f>$Q$12</xm:f>
            <x14:dxf>
              <fill>
                <patternFill>
                  <bgColor rgb="FFFFFF00"/>
                </patternFill>
              </fill>
            </x14:dxf>
          </x14:cfRule>
          <xm:sqref>AM422:AN422</xm:sqref>
        </x14:conditionalFormatting>
        <x14:conditionalFormatting xmlns:xm="http://schemas.microsoft.com/office/excel/2006/main">
          <x14:cfRule type="containsText" priority="5991" operator="containsText" id="{E5217DF8-26A9-444D-BF5B-1C8D1DDA0A0D}">
            <xm:f>NOT(ISERROR(SEARCH($Q$12,AM432)))</xm:f>
            <xm:f>$Q$12</xm:f>
            <x14:dxf>
              <fill>
                <patternFill>
                  <bgColor rgb="FFFFFF00"/>
                </patternFill>
              </fill>
            </x14:dxf>
          </x14:cfRule>
          <x14:cfRule type="containsText" priority="5993" operator="containsText" id="{FFC0DE45-E254-4C17-B6D7-33EB97570B62}">
            <xm:f>NOT(ISERROR(SEARCH($Q$12,AM432)))</xm:f>
            <xm:f>$Q$12</xm:f>
            <x14:dxf>
              <fill>
                <patternFill>
                  <bgColor rgb="FFFF0000"/>
                </patternFill>
              </fill>
            </x14:dxf>
          </x14:cfRule>
          <x14:cfRule type="containsText" priority="5992" operator="containsText" id="{C0335403-325C-4F9E-B869-3B8AFBB7EA0A}">
            <xm:f>NOT(ISERROR(SEARCH($Q$12,AM432)))</xm:f>
            <xm:f>$Q$12</xm:f>
            <x14:dxf>
              <fill>
                <patternFill>
                  <bgColor rgb="FFFFC000"/>
                </patternFill>
              </fill>
            </x14:dxf>
          </x14:cfRule>
          <x14:cfRule type="containsText" priority="5990" operator="containsText" id="{8DBA4F9B-7659-407B-9CE3-E388D2334EB3}">
            <xm:f>NOT(ISERROR(SEARCH($Q$12,AM432)))</xm:f>
            <xm:f>$Q$12</xm:f>
            <x14:dxf>
              <fill>
                <patternFill>
                  <bgColor theme="9"/>
                </patternFill>
              </fill>
            </x14:dxf>
          </x14:cfRule>
          <x14:cfRule type="containsText" priority="5989" operator="containsText" id="{8382C97D-AA67-4C30-AF46-8C719A085EB0}">
            <xm:f>NOT(ISERROR(SEARCH($Q$12,AM432)))</xm:f>
            <xm:f>$Q$12</xm:f>
            <x14:dxf>
              <fill>
                <patternFill>
                  <bgColor theme="9" tint="0.59996337778862885"/>
                </patternFill>
              </fill>
            </x14:dxf>
          </x14:cfRule>
          <x14:cfRule type="containsText" priority="5988" operator="containsText" id="{D8BD95EF-B9D9-42AF-80FF-077A51A8C68A}">
            <xm:f>NOT(ISERROR(SEARCH($Q$12,AM432)))</xm:f>
            <xm:f>$Q$12</xm:f>
            <x14:dxf>
              <fill>
                <patternFill>
                  <bgColor rgb="FFFF0000"/>
                </patternFill>
              </fill>
            </x14:dxf>
          </x14:cfRule>
          <x14:cfRule type="containsText" priority="5987" operator="containsText" id="{3639B643-AD87-46A2-A2CC-9A585C141AD0}">
            <xm:f>NOT(ISERROR(SEARCH($Q$12,AM432)))</xm:f>
            <xm:f>$Q$12</xm:f>
            <x14:dxf>
              <fill>
                <patternFill>
                  <bgColor rgb="FFFFC000"/>
                </patternFill>
              </fill>
            </x14:dxf>
          </x14:cfRule>
          <x14:cfRule type="containsText" priority="5986" operator="containsText" id="{237C719C-C4C0-4CF5-B986-5A28B9101ED9}">
            <xm:f>NOT(ISERROR(SEARCH($Q$12,AM432)))</xm:f>
            <xm:f>$Q$12</xm:f>
            <x14:dxf>
              <fill>
                <patternFill>
                  <bgColor rgb="FFFFFF00"/>
                </patternFill>
              </fill>
            </x14:dxf>
          </x14:cfRule>
          <x14:cfRule type="containsText" priority="5985" operator="containsText" id="{463D7D38-BC49-4DF7-828B-E1854579FB7E}">
            <xm:f>NOT(ISERROR(SEARCH($Q$12,AM432)))</xm:f>
            <xm:f>$Q$12</xm:f>
            <x14:dxf>
              <fill>
                <patternFill>
                  <bgColor rgb="FF00B050"/>
                </patternFill>
              </fill>
            </x14:dxf>
          </x14:cfRule>
          <x14:cfRule type="containsText" priority="5984" operator="containsText" id="{67D22C7C-7FD9-4ECB-AD32-DAEF0D9D6811}">
            <xm:f>NOT(ISERROR(SEARCH($Q$12,AM432)))</xm:f>
            <xm:f>$Q$12</xm:f>
            <x14:dxf>
              <fill>
                <patternFill>
                  <bgColor theme="9" tint="0.39994506668294322"/>
                </patternFill>
              </fill>
            </x14:dxf>
          </x14:cfRule>
          <x14:cfRule type="containsText" priority="5983" operator="containsText" id="{DD4F6489-5FCB-4CEF-9B9F-5FA982E0529E}">
            <xm:f>NOT(ISERROR(SEARCH($Q$12,AM432)))</xm:f>
            <xm:f>$Q$12</xm:f>
            <x14:dxf>
              <fill>
                <patternFill>
                  <bgColor theme="9" tint="0.79998168889431442"/>
                </patternFill>
              </fill>
            </x14:dxf>
          </x14:cfRule>
          <xm:sqref>AM432:AN432</xm:sqref>
        </x14:conditionalFormatting>
        <x14:conditionalFormatting xmlns:xm="http://schemas.microsoft.com/office/excel/2006/main">
          <x14:cfRule type="containsText" priority="5832" operator="containsText" id="{2C1A3C48-751C-4F6E-A5A7-605C3CC4478B}">
            <xm:f>NOT(ISERROR(SEARCH($Q$12,AM442)))</xm:f>
            <xm:f>$Q$12</xm:f>
            <x14:dxf>
              <fill>
                <patternFill>
                  <bgColor rgb="FFFFFF00"/>
                </patternFill>
              </fill>
            </x14:dxf>
          </x14:cfRule>
          <x14:cfRule type="containsText" priority="5833" operator="containsText" id="{CE56F658-1A13-4350-B13F-CA5A9417E8FB}">
            <xm:f>NOT(ISERROR(SEARCH($Q$12,AM442)))</xm:f>
            <xm:f>$Q$12</xm:f>
            <x14:dxf>
              <fill>
                <patternFill>
                  <bgColor rgb="FFFFC000"/>
                </patternFill>
              </fill>
            </x14:dxf>
          </x14:cfRule>
          <x14:cfRule type="containsText" priority="5834" operator="containsText" id="{3B379CBA-51A8-4CA2-B2B9-25BA265776AC}">
            <xm:f>NOT(ISERROR(SEARCH($Q$12,AM442)))</xm:f>
            <xm:f>$Q$12</xm:f>
            <x14:dxf>
              <fill>
                <patternFill>
                  <bgColor rgb="FFFF0000"/>
                </patternFill>
              </fill>
            </x14:dxf>
          </x14:cfRule>
          <x14:cfRule type="containsText" priority="5835" operator="containsText" id="{22C953EE-3FDE-468F-A8CC-D5A72E4C6408}">
            <xm:f>NOT(ISERROR(SEARCH($Q$12,AM442)))</xm:f>
            <xm:f>$Q$12</xm:f>
            <x14:dxf>
              <fill>
                <patternFill>
                  <bgColor theme="9" tint="0.59996337778862885"/>
                </patternFill>
              </fill>
            </x14:dxf>
          </x14:cfRule>
          <x14:cfRule type="containsText" priority="5836" operator="containsText" id="{400D62E8-241A-4C4D-B780-DB6480784051}">
            <xm:f>NOT(ISERROR(SEARCH($Q$12,AM442)))</xm:f>
            <xm:f>$Q$12</xm:f>
            <x14:dxf>
              <fill>
                <patternFill>
                  <bgColor theme="9"/>
                </patternFill>
              </fill>
            </x14:dxf>
          </x14:cfRule>
          <x14:cfRule type="containsText" priority="5837" operator="containsText" id="{E2D340FF-1D45-46E6-8318-196ECC3C5715}">
            <xm:f>NOT(ISERROR(SEARCH($Q$12,AM442)))</xm:f>
            <xm:f>$Q$12</xm:f>
            <x14:dxf>
              <fill>
                <patternFill>
                  <bgColor rgb="FFFFFF00"/>
                </patternFill>
              </fill>
            </x14:dxf>
          </x14:cfRule>
          <x14:cfRule type="containsText" priority="5829" operator="containsText" id="{EFD65D1A-396C-48B0-8077-2EE738403318}">
            <xm:f>NOT(ISERROR(SEARCH($Q$12,AM442)))</xm:f>
            <xm:f>$Q$12</xm:f>
            <x14:dxf>
              <fill>
                <patternFill>
                  <bgColor theme="9" tint="0.79998168889431442"/>
                </patternFill>
              </fill>
            </x14:dxf>
          </x14:cfRule>
          <x14:cfRule type="containsText" priority="5831" operator="containsText" id="{4A618A22-F15C-423A-B8F8-9E9FA0FD25EF}">
            <xm:f>NOT(ISERROR(SEARCH($Q$12,AM442)))</xm:f>
            <xm:f>$Q$12</xm:f>
            <x14:dxf>
              <fill>
                <patternFill>
                  <bgColor rgb="FF00B050"/>
                </patternFill>
              </fill>
            </x14:dxf>
          </x14:cfRule>
          <x14:cfRule type="containsText" priority="5839" operator="containsText" id="{C8E40CAA-BF9A-4404-9E7E-6448D570F223}">
            <xm:f>NOT(ISERROR(SEARCH($Q$12,AM442)))</xm:f>
            <xm:f>$Q$12</xm:f>
            <x14:dxf>
              <fill>
                <patternFill>
                  <bgColor rgb="FFFF0000"/>
                </patternFill>
              </fill>
            </x14:dxf>
          </x14:cfRule>
          <x14:cfRule type="containsText" priority="5838" operator="containsText" id="{5E00C99B-2B80-4220-97EB-6B2A03455EEE}">
            <xm:f>NOT(ISERROR(SEARCH($Q$12,AM442)))</xm:f>
            <xm:f>$Q$12</xm:f>
            <x14:dxf>
              <fill>
                <patternFill>
                  <bgColor rgb="FFFFC000"/>
                </patternFill>
              </fill>
            </x14:dxf>
          </x14:cfRule>
          <x14:cfRule type="containsText" priority="5830" operator="containsText" id="{9C567444-5ABD-425F-AD16-2222DF84EA0E}">
            <xm:f>NOT(ISERROR(SEARCH($Q$12,AM442)))</xm:f>
            <xm:f>$Q$12</xm:f>
            <x14:dxf>
              <fill>
                <patternFill>
                  <bgColor theme="9" tint="0.39994506668294322"/>
                </patternFill>
              </fill>
            </x14:dxf>
          </x14:cfRule>
          <xm:sqref>AM442:AN442</xm:sqref>
        </x14:conditionalFormatting>
        <x14:conditionalFormatting xmlns:xm="http://schemas.microsoft.com/office/excel/2006/main">
          <x14:cfRule type="containsText" priority="5813" operator="containsText" id="{AF1DA968-81B5-49ED-AF82-023A78AE0A91}">
            <xm:f>NOT(ISERROR(SEARCH($Q$12,AM452)))</xm:f>
            <xm:f>$Q$12</xm:f>
            <x14:dxf>
              <fill>
                <patternFill>
                  <bgColor theme="9" tint="0.79998168889431442"/>
                </patternFill>
              </fill>
            </x14:dxf>
          </x14:cfRule>
          <x14:cfRule type="containsText" priority="5814" operator="containsText" id="{66F214EC-A8BB-45C4-87A3-A7182C7F20D2}">
            <xm:f>NOT(ISERROR(SEARCH($Q$12,AM452)))</xm:f>
            <xm:f>$Q$12</xm:f>
            <x14:dxf>
              <fill>
                <patternFill>
                  <bgColor theme="9" tint="0.39994506668294322"/>
                </patternFill>
              </fill>
            </x14:dxf>
          </x14:cfRule>
          <x14:cfRule type="containsText" priority="5815" operator="containsText" id="{FE2ED3C8-CF6C-4CC9-BC2B-C10EABE682EB}">
            <xm:f>NOT(ISERROR(SEARCH($Q$12,AM452)))</xm:f>
            <xm:f>$Q$12</xm:f>
            <x14:dxf>
              <fill>
                <patternFill>
                  <bgColor rgb="FF00B050"/>
                </patternFill>
              </fill>
            </x14:dxf>
          </x14:cfRule>
          <x14:cfRule type="containsText" priority="5816" operator="containsText" id="{F70B38B4-1AB8-456F-96AF-014FCD8FCFC2}">
            <xm:f>NOT(ISERROR(SEARCH($Q$12,AM452)))</xm:f>
            <xm:f>$Q$12</xm:f>
            <x14:dxf>
              <fill>
                <patternFill>
                  <bgColor rgb="FFFFFF00"/>
                </patternFill>
              </fill>
            </x14:dxf>
          </x14:cfRule>
          <x14:cfRule type="containsText" priority="5817" operator="containsText" id="{DABC4385-FC6E-4754-A41C-BA2A4A2DB4F7}">
            <xm:f>NOT(ISERROR(SEARCH($Q$12,AM452)))</xm:f>
            <xm:f>$Q$12</xm:f>
            <x14:dxf>
              <fill>
                <patternFill>
                  <bgColor rgb="FFFFC000"/>
                </patternFill>
              </fill>
            </x14:dxf>
          </x14:cfRule>
          <x14:cfRule type="containsText" priority="5818" operator="containsText" id="{50D7682F-D6E3-47D0-9600-0F63C2197080}">
            <xm:f>NOT(ISERROR(SEARCH($Q$12,AM452)))</xm:f>
            <xm:f>$Q$12</xm:f>
            <x14:dxf>
              <fill>
                <patternFill>
                  <bgColor rgb="FFFF0000"/>
                </patternFill>
              </fill>
            </x14:dxf>
          </x14:cfRule>
          <x14:cfRule type="containsText" priority="5819" operator="containsText" id="{6FEEACD5-B4D1-4371-9D38-D95C22861B7B}">
            <xm:f>NOT(ISERROR(SEARCH($Q$12,AM452)))</xm:f>
            <xm:f>$Q$12</xm:f>
            <x14:dxf>
              <fill>
                <patternFill>
                  <bgColor theme="9" tint="0.59996337778862885"/>
                </patternFill>
              </fill>
            </x14:dxf>
          </x14:cfRule>
          <x14:cfRule type="containsText" priority="5820" operator="containsText" id="{A0B4CAFA-194D-41C3-A911-B6BF6A23C7A9}">
            <xm:f>NOT(ISERROR(SEARCH($Q$12,AM452)))</xm:f>
            <xm:f>$Q$12</xm:f>
            <x14:dxf>
              <fill>
                <patternFill>
                  <bgColor theme="9"/>
                </patternFill>
              </fill>
            </x14:dxf>
          </x14:cfRule>
          <x14:cfRule type="containsText" priority="5821" operator="containsText" id="{0E603445-0769-4073-9617-63A7AB0B53E5}">
            <xm:f>NOT(ISERROR(SEARCH($Q$12,AM452)))</xm:f>
            <xm:f>$Q$12</xm:f>
            <x14:dxf>
              <fill>
                <patternFill>
                  <bgColor rgb="FFFFFF00"/>
                </patternFill>
              </fill>
            </x14:dxf>
          </x14:cfRule>
          <x14:cfRule type="containsText" priority="5822" operator="containsText" id="{0930DCD4-BB37-49D0-8DDD-24CB64F37814}">
            <xm:f>NOT(ISERROR(SEARCH($Q$12,AM452)))</xm:f>
            <xm:f>$Q$12</xm:f>
            <x14:dxf>
              <fill>
                <patternFill>
                  <bgColor rgb="FFFFC000"/>
                </patternFill>
              </fill>
            </x14:dxf>
          </x14:cfRule>
          <x14:cfRule type="containsText" priority="5823" operator="containsText" id="{94197968-EFCF-4D16-A30A-CA0CDA16DAFE}">
            <xm:f>NOT(ISERROR(SEARCH($Q$12,AM452)))</xm:f>
            <xm:f>$Q$12</xm:f>
            <x14:dxf>
              <fill>
                <patternFill>
                  <bgColor rgb="FFFF0000"/>
                </patternFill>
              </fill>
            </x14:dxf>
          </x14:cfRule>
          <xm:sqref>AM452:AN452</xm:sqref>
        </x14:conditionalFormatting>
        <x14:conditionalFormatting xmlns:xm="http://schemas.microsoft.com/office/excel/2006/main">
          <x14:cfRule type="containsText" priority="5802" operator="containsText" id="{6F6E67DE-2CF6-4936-917F-C0BE3F605197}">
            <xm:f>NOT(ISERROR(SEARCH($Q$12,AM462)))</xm:f>
            <xm:f>$Q$12</xm:f>
            <x14:dxf>
              <fill>
                <patternFill>
                  <bgColor rgb="FFFF0000"/>
                </patternFill>
              </fill>
            </x14:dxf>
          </x14:cfRule>
          <x14:cfRule type="containsText" priority="5801" operator="containsText" id="{39A8AD9D-F1F6-473C-BF0D-A4D1C8B589C1}">
            <xm:f>NOT(ISERROR(SEARCH($Q$12,AM462)))</xm:f>
            <xm:f>$Q$12</xm:f>
            <x14:dxf>
              <fill>
                <patternFill>
                  <bgColor rgb="FFFFC000"/>
                </patternFill>
              </fill>
            </x14:dxf>
          </x14:cfRule>
          <x14:cfRule type="containsText" priority="5800" operator="containsText" id="{D9F190A3-E5C6-4072-A078-31ED6682D6EA}">
            <xm:f>NOT(ISERROR(SEARCH($Q$12,AM462)))</xm:f>
            <xm:f>$Q$12</xm:f>
            <x14:dxf>
              <fill>
                <patternFill>
                  <bgColor rgb="FFFFFF00"/>
                </patternFill>
              </fill>
            </x14:dxf>
          </x14:cfRule>
          <x14:cfRule type="containsText" priority="5799" operator="containsText" id="{C7A7C3AA-0AAE-46CA-9494-A88A34877690}">
            <xm:f>NOT(ISERROR(SEARCH($Q$12,AM462)))</xm:f>
            <xm:f>$Q$12</xm:f>
            <x14:dxf>
              <fill>
                <patternFill>
                  <bgColor rgb="FF00B050"/>
                </patternFill>
              </fill>
            </x14:dxf>
          </x14:cfRule>
          <x14:cfRule type="containsText" priority="5798" operator="containsText" id="{CECE6E66-1CA6-48F6-8A03-ED021F55D1E0}">
            <xm:f>NOT(ISERROR(SEARCH($Q$12,AM462)))</xm:f>
            <xm:f>$Q$12</xm:f>
            <x14:dxf>
              <fill>
                <patternFill>
                  <bgColor theme="9" tint="0.39994506668294322"/>
                </patternFill>
              </fill>
            </x14:dxf>
          </x14:cfRule>
          <x14:cfRule type="containsText" priority="5797" operator="containsText" id="{5F90FE7F-1DB4-4798-BEA0-E1442A482262}">
            <xm:f>NOT(ISERROR(SEARCH($Q$12,AM462)))</xm:f>
            <xm:f>$Q$12</xm:f>
            <x14:dxf>
              <fill>
                <patternFill>
                  <bgColor theme="9" tint="0.79998168889431442"/>
                </patternFill>
              </fill>
            </x14:dxf>
          </x14:cfRule>
          <x14:cfRule type="containsText" priority="5805" operator="containsText" id="{368F01D3-3B40-4851-93F1-2D122A03678A}">
            <xm:f>NOT(ISERROR(SEARCH($Q$12,AM462)))</xm:f>
            <xm:f>$Q$12</xm:f>
            <x14:dxf>
              <fill>
                <patternFill>
                  <bgColor rgb="FFFFFF00"/>
                </patternFill>
              </fill>
            </x14:dxf>
          </x14:cfRule>
          <x14:cfRule type="containsText" priority="5807" operator="containsText" id="{2FC5B67C-3016-44F4-9B53-FD54BF6269C6}">
            <xm:f>NOT(ISERROR(SEARCH($Q$12,AM462)))</xm:f>
            <xm:f>$Q$12</xm:f>
            <x14:dxf>
              <fill>
                <patternFill>
                  <bgColor rgb="FFFF0000"/>
                </patternFill>
              </fill>
            </x14:dxf>
          </x14:cfRule>
          <x14:cfRule type="containsText" priority="5806" operator="containsText" id="{08AE39BB-D46D-4E60-8595-7A0C06C9B877}">
            <xm:f>NOT(ISERROR(SEARCH($Q$12,AM462)))</xm:f>
            <xm:f>$Q$12</xm:f>
            <x14:dxf>
              <fill>
                <patternFill>
                  <bgColor rgb="FFFFC000"/>
                </patternFill>
              </fill>
            </x14:dxf>
          </x14:cfRule>
          <x14:cfRule type="containsText" priority="5804" operator="containsText" id="{E70CACA3-89F2-4001-A123-5B84C490E852}">
            <xm:f>NOT(ISERROR(SEARCH($Q$12,AM462)))</xm:f>
            <xm:f>$Q$12</xm:f>
            <x14:dxf>
              <fill>
                <patternFill>
                  <bgColor theme="9"/>
                </patternFill>
              </fill>
            </x14:dxf>
          </x14:cfRule>
          <x14:cfRule type="containsText" priority="5803" operator="containsText" id="{B943CF42-162C-4312-BA80-42EAE72557F1}">
            <xm:f>NOT(ISERROR(SEARCH($Q$12,AM462)))</xm:f>
            <xm:f>$Q$12</xm:f>
            <x14:dxf>
              <fill>
                <patternFill>
                  <bgColor theme="9" tint="0.59996337778862885"/>
                </patternFill>
              </fill>
            </x14:dxf>
          </x14:cfRule>
          <xm:sqref>AM462:AN462</xm:sqref>
        </x14:conditionalFormatting>
        <x14:conditionalFormatting xmlns:xm="http://schemas.microsoft.com/office/excel/2006/main">
          <x14:cfRule type="containsText" priority="5784" operator="containsText" id="{F72EAFE2-4296-44F3-B4B0-F274BB27C333}">
            <xm:f>NOT(ISERROR(SEARCH($Q$12,AM472)))</xm:f>
            <xm:f>$Q$12</xm:f>
            <x14:dxf>
              <fill>
                <patternFill>
                  <bgColor rgb="FFFFFF00"/>
                </patternFill>
              </fill>
            </x14:dxf>
          </x14:cfRule>
          <x14:cfRule type="containsText" priority="5783" operator="containsText" id="{03CD363F-137F-4DCC-B112-11F60FDADE50}">
            <xm:f>NOT(ISERROR(SEARCH($Q$12,AM472)))</xm:f>
            <xm:f>$Q$12</xm:f>
            <x14:dxf>
              <fill>
                <patternFill>
                  <bgColor rgb="FF00B050"/>
                </patternFill>
              </fill>
            </x14:dxf>
          </x14:cfRule>
          <x14:cfRule type="containsText" priority="5782" operator="containsText" id="{B91AD953-0021-4634-9469-2BED535FE634}">
            <xm:f>NOT(ISERROR(SEARCH($Q$12,AM472)))</xm:f>
            <xm:f>$Q$12</xm:f>
            <x14:dxf>
              <fill>
                <patternFill>
                  <bgColor theme="9" tint="0.39994506668294322"/>
                </patternFill>
              </fill>
            </x14:dxf>
          </x14:cfRule>
          <x14:cfRule type="containsText" priority="5785" operator="containsText" id="{14F134B0-EDB7-490A-9729-E1FB5A634F49}">
            <xm:f>NOT(ISERROR(SEARCH($Q$12,AM472)))</xm:f>
            <xm:f>$Q$12</xm:f>
            <x14:dxf>
              <fill>
                <patternFill>
                  <bgColor rgb="FFFFC000"/>
                </patternFill>
              </fill>
            </x14:dxf>
          </x14:cfRule>
          <x14:cfRule type="containsText" priority="5781" operator="containsText" id="{B6A37936-A244-44E6-BA84-3407FD816EB9}">
            <xm:f>NOT(ISERROR(SEARCH($Q$12,AM472)))</xm:f>
            <xm:f>$Q$12</xm:f>
            <x14:dxf>
              <fill>
                <patternFill>
                  <bgColor theme="9" tint="0.79998168889431442"/>
                </patternFill>
              </fill>
            </x14:dxf>
          </x14:cfRule>
          <x14:cfRule type="containsText" priority="5786" operator="containsText" id="{0EBAE1F5-B735-4C5B-ADAC-75551AC17E06}">
            <xm:f>NOT(ISERROR(SEARCH($Q$12,AM472)))</xm:f>
            <xm:f>$Q$12</xm:f>
            <x14:dxf>
              <fill>
                <patternFill>
                  <bgColor rgb="FFFF0000"/>
                </patternFill>
              </fill>
            </x14:dxf>
          </x14:cfRule>
          <x14:cfRule type="containsText" priority="5787" operator="containsText" id="{4848F881-809B-4071-9040-A3BE694EC35D}">
            <xm:f>NOT(ISERROR(SEARCH($Q$12,AM472)))</xm:f>
            <xm:f>$Q$12</xm:f>
            <x14:dxf>
              <fill>
                <patternFill>
                  <bgColor theme="9" tint="0.59996337778862885"/>
                </patternFill>
              </fill>
            </x14:dxf>
          </x14:cfRule>
          <x14:cfRule type="containsText" priority="5788" operator="containsText" id="{AF0B91CE-8747-45A8-B215-EE4412C78BD0}">
            <xm:f>NOT(ISERROR(SEARCH($Q$12,AM472)))</xm:f>
            <xm:f>$Q$12</xm:f>
            <x14:dxf>
              <fill>
                <patternFill>
                  <bgColor theme="9"/>
                </patternFill>
              </fill>
            </x14:dxf>
          </x14:cfRule>
          <x14:cfRule type="containsText" priority="5789" operator="containsText" id="{38527A30-2384-4C61-BD88-A425C34D079F}">
            <xm:f>NOT(ISERROR(SEARCH($Q$12,AM472)))</xm:f>
            <xm:f>$Q$12</xm:f>
            <x14:dxf>
              <fill>
                <patternFill>
                  <bgColor rgb="FFFFFF00"/>
                </patternFill>
              </fill>
            </x14:dxf>
          </x14:cfRule>
          <x14:cfRule type="containsText" priority="5790" operator="containsText" id="{630B706D-1923-4549-9A3A-B182783AA2CF}">
            <xm:f>NOT(ISERROR(SEARCH($Q$12,AM472)))</xm:f>
            <xm:f>$Q$12</xm:f>
            <x14:dxf>
              <fill>
                <patternFill>
                  <bgColor rgb="FFFFC000"/>
                </patternFill>
              </fill>
            </x14:dxf>
          </x14:cfRule>
          <x14:cfRule type="containsText" priority="5791" operator="containsText" id="{92A8C206-1CA9-414E-ABF6-9F0A25858305}">
            <xm:f>NOT(ISERROR(SEARCH($Q$12,AM472)))</xm:f>
            <xm:f>$Q$12</xm:f>
            <x14:dxf>
              <fill>
                <patternFill>
                  <bgColor rgb="FFFF0000"/>
                </patternFill>
              </fill>
            </x14:dxf>
          </x14:cfRule>
          <xm:sqref>AM472:AN472</xm:sqref>
        </x14:conditionalFormatting>
        <x14:conditionalFormatting xmlns:xm="http://schemas.microsoft.com/office/excel/2006/main">
          <x14:cfRule type="containsText" priority="5765" operator="containsText" id="{F6CA3F8D-22D7-4103-9581-22AC6D044855}">
            <xm:f>NOT(ISERROR(SEARCH($Q$12,AM482)))</xm:f>
            <xm:f>$Q$12</xm:f>
            <x14:dxf>
              <fill>
                <patternFill>
                  <bgColor theme="9" tint="0.79998168889431442"/>
                </patternFill>
              </fill>
            </x14:dxf>
          </x14:cfRule>
          <x14:cfRule type="containsText" priority="5774" operator="containsText" id="{EFCBA3CF-3FFA-4960-BD85-D9D9AC1076AD}">
            <xm:f>NOT(ISERROR(SEARCH($Q$12,AM482)))</xm:f>
            <xm:f>$Q$12</xm:f>
            <x14:dxf>
              <fill>
                <patternFill>
                  <bgColor rgb="FFFFC000"/>
                </patternFill>
              </fill>
            </x14:dxf>
          </x14:cfRule>
          <x14:cfRule type="containsText" priority="5766" operator="containsText" id="{1CAED9A7-30CF-4E8D-BF87-5FAA9F8C41C1}">
            <xm:f>NOT(ISERROR(SEARCH($Q$12,AM482)))</xm:f>
            <xm:f>$Q$12</xm:f>
            <x14:dxf>
              <fill>
                <patternFill>
                  <bgColor theme="9" tint="0.39994506668294322"/>
                </patternFill>
              </fill>
            </x14:dxf>
          </x14:cfRule>
          <x14:cfRule type="containsText" priority="5767" operator="containsText" id="{CA4DA021-66B9-410A-9E15-D3F101A0A457}">
            <xm:f>NOT(ISERROR(SEARCH($Q$12,AM482)))</xm:f>
            <xm:f>$Q$12</xm:f>
            <x14:dxf>
              <fill>
                <patternFill>
                  <bgColor rgb="FF00B050"/>
                </patternFill>
              </fill>
            </x14:dxf>
          </x14:cfRule>
          <x14:cfRule type="containsText" priority="5768" operator="containsText" id="{1DD732C3-4C51-461C-A9D5-49565A3E1F17}">
            <xm:f>NOT(ISERROR(SEARCH($Q$12,AM482)))</xm:f>
            <xm:f>$Q$12</xm:f>
            <x14:dxf>
              <fill>
                <patternFill>
                  <bgColor rgb="FFFFFF00"/>
                </patternFill>
              </fill>
            </x14:dxf>
          </x14:cfRule>
          <x14:cfRule type="containsText" priority="5769" operator="containsText" id="{BE9E6776-07FE-473F-937C-12DE54A3321B}">
            <xm:f>NOT(ISERROR(SEARCH($Q$12,AM482)))</xm:f>
            <xm:f>$Q$12</xm:f>
            <x14:dxf>
              <fill>
                <patternFill>
                  <bgColor rgb="FFFFC000"/>
                </patternFill>
              </fill>
            </x14:dxf>
          </x14:cfRule>
          <x14:cfRule type="containsText" priority="5770" operator="containsText" id="{AD00B4D0-9C28-4AF3-84B1-70F5C582900B}">
            <xm:f>NOT(ISERROR(SEARCH($Q$12,AM482)))</xm:f>
            <xm:f>$Q$12</xm:f>
            <x14:dxf>
              <fill>
                <patternFill>
                  <bgColor rgb="FFFF0000"/>
                </patternFill>
              </fill>
            </x14:dxf>
          </x14:cfRule>
          <x14:cfRule type="containsText" priority="5771" operator="containsText" id="{D2A48A24-BAEE-41C1-9F27-B01A18F059B4}">
            <xm:f>NOT(ISERROR(SEARCH($Q$12,AM482)))</xm:f>
            <xm:f>$Q$12</xm:f>
            <x14:dxf>
              <fill>
                <patternFill>
                  <bgColor theme="9" tint="0.59996337778862885"/>
                </patternFill>
              </fill>
            </x14:dxf>
          </x14:cfRule>
          <x14:cfRule type="containsText" priority="5772" operator="containsText" id="{D707883C-23DD-4A7A-81A4-7FFE2C84B7AC}">
            <xm:f>NOT(ISERROR(SEARCH($Q$12,AM482)))</xm:f>
            <xm:f>$Q$12</xm:f>
            <x14:dxf>
              <fill>
                <patternFill>
                  <bgColor theme="9"/>
                </patternFill>
              </fill>
            </x14:dxf>
          </x14:cfRule>
          <x14:cfRule type="containsText" priority="5773" operator="containsText" id="{24ACA469-43BB-436F-AC24-6DFE7486B45E}">
            <xm:f>NOT(ISERROR(SEARCH($Q$12,AM482)))</xm:f>
            <xm:f>$Q$12</xm:f>
            <x14:dxf>
              <fill>
                <patternFill>
                  <bgColor rgb="FFFFFF00"/>
                </patternFill>
              </fill>
            </x14:dxf>
          </x14:cfRule>
          <x14:cfRule type="containsText" priority="5775" operator="containsText" id="{E5809F1F-6068-4CF4-A02F-BF85585B1249}">
            <xm:f>NOT(ISERROR(SEARCH($Q$12,AM482)))</xm:f>
            <xm:f>$Q$12</xm:f>
            <x14:dxf>
              <fill>
                <patternFill>
                  <bgColor rgb="FFFF0000"/>
                </patternFill>
              </fill>
            </x14:dxf>
          </x14:cfRule>
          <xm:sqref>AM482:AN482</xm:sqref>
        </x14:conditionalFormatting>
        <x14:conditionalFormatting xmlns:xm="http://schemas.microsoft.com/office/excel/2006/main">
          <x14:cfRule type="containsText" priority="5753" operator="containsText" id="{0D233237-CD55-4870-A5B1-3537F30DD51A}">
            <xm:f>NOT(ISERROR(SEARCH($Q$12,AM492)))</xm:f>
            <xm:f>$Q$12</xm:f>
            <x14:dxf>
              <fill>
                <patternFill>
                  <bgColor rgb="FFFFC000"/>
                </patternFill>
              </fill>
            </x14:dxf>
          </x14:cfRule>
          <x14:cfRule type="containsText" priority="5749" operator="containsText" id="{AA9A46DF-14CD-41DD-B986-FF61826F6A42}">
            <xm:f>NOT(ISERROR(SEARCH($Q$12,AM492)))</xm:f>
            <xm:f>$Q$12</xm:f>
            <x14:dxf>
              <fill>
                <patternFill>
                  <bgColor theme="9" tint="0.79998168889431442"/>
                </patternFill>
              </fill>
            </x14:dxf>
          </x14:cfRule>
          <x14:cfRule type="containsText" priority="5750" operator="containsText" id="{DBAF89B3-91FB-4669-AC8B-16A156559916}">
            <xm:f>NOT(ISERROR(SEARCH($Q$12,AM492)))</xm:f>
            <xm:f>$Q$12</xm:f>
            <x14:dxf>
              <fill>
                <patternFill>
                  <bgColor theme="9" tint="0.39994506668294322"/>
                </patternFill>
              </fill>
            </x14:dxf>
          </x14:cfRule>
          <x14:cfRule type="containsText" priority="5751" operator="containsText" id="{A035D10E-C49E-4C09-82E4-11AE1F69548B}">
            <xm:f>NOT(ISERROR(SEARCH($Q$12,AM492)))</xm:f>
            <xm:f>$Q$12</xm:f>
            <x14:dxf>
              <fill>
                <patternFill>
                  <bgColor rgb="FF00B050"/>
                </patternFill>
              </fill>
            </x14:dxf>
          </x14:cfRule>
          <x14:cfRule type="containsText" priority="5752" operator="containsText" id="{680BF95A-53CB-4278-8A68-7F7F9AEDE4B7}">
            <xm:f>NOT(ISERROR(SEARCH($Q$12,AM492)))</xm:f>
            <xm:f>$Q$12</xm:f>
            <x14:dxf>
              <fill>
                <patternFill>
                  <bgColor rgb="FFFFFF00"/>
                </patternFill>
              </fill>
            </x14:dxf>
          </x14:cfRule>
          <x14:cfRule type="containsText" priority="5754" operator="containsText" id="{9C91167E-80E7-48DF-A0BE-FCF7B37A72FF}">
            <xm:f>NOT(ISERROR(SEARCH($Q$12,AM492)))</xm:f>
            <xm:f>$Q$12</xm:f>
            <x14:dxf>
              <fill>
                <patternFill>
                  <bgColor rgb="FFFF0000"/>
                </patternFill>
              </fill>
            </x14:dxf>
          </x14:cfRule>
          <x14:cfRule type="containsText" priority="5755" operator="containsText" id="{84E72BAB-B15C-4241-A628-95D8066C985A}">
            <xm:f>NOT(ISERROR(SEARCH($Q$12,AM492)))</xm:f>
            <xm:f>$Q$12</xm:f>
            <x14:dxf>
              <fill>
                <patternFill>
                  <bgColor theme="9" tint="0.59996337778862885"/>
                </patternFill>
              </fill>
            </x14:dxf>
          </x14:cfRule>
          <x14:cfRule type="containsText" priority="5756" operator="containsText" id="{946BD957-956E-41A5-8478-555E5844A57D}">
            <xm:f>NOT(ISERROR(SEARCH($Q$12,AM492)))</xm:f>
            <xm:f>$Q$12</xm:f>
            <x14:dxf>
              <fill>
                <patternFill>
                  <bgColor theme="9"/>
                </patternFill>
              </fill>
            </x14:dxf>
          </x14:cfRule>
          <x14:cfRule type="containsText" priority="5757" operator="containsText" id="{1909B256-B21B-4E28-8365-5D2DBFD282D7}">
            <xm:f>NOT(ISERROR(SEARCH($Q$12,AM492)))</xm:f>
            <xm:f>$Q$12</xm:f>
            <x14:dxf>
              <fill>
                <patternFill>
                  <bgColor rgb="FFFFFF00"/>
                </patternFill>
              </fill>
            </x14:dxf>
          </x14:cfRule>
          <x14:cfRule type="containsText" priority="5758" operator="containsText" id="{1CB8ABDC-B6AE-4116-83F1-D58D0F0920D6}">
            <xm:f>NOT(ISERROR(SEARCH($Q$12,AM492)))</xm:f>
            <xm:f>$Q$12</xm:f>
            <x14:dxf>
              <fill>
                <patternFill>
                  <bgColor rgb="FFFFC000"/>
                </patternFill>
              </fill>
            </x14:dxf>
          </x14:cfRule>
          <x14:cfRule type="containsText" priority="5759" operator="containsText" id="{C247659D-0B44-405E-969A-419A4F23DAD3}">
            <xm:f>NOT(ISERROR(SEARCH($Q$12,AM492)))</xm:f>
            <xm:f>$Q$12</xm:f>
            <x14:dxf>
              <fill>
                <patternFill>
                  <bgColor rgb="FFFF0000"/>
                </patternFill>
              </fill>
            </x14:dxf>
          </x14:cfRule>
          <xm:sqref>AM492:AN492</xm:sqref>
        </x14:conditionalFormatting>
        <x14:conditionalFormatting xmlns:xm="http://schemas.microsoft.com/office/excel/2006/main">
          <x14:cfRule type="containsText" priority="5316" operator="containsText" id="{2E2AACA3-60A2-4CE5-8B2F-8FEC5E0AE202}">
            <xm:f>NOT(ISERROR(SEARCH($Q$12,AM502)))</xm:f>
            <xm:f>$Q$12</xm:f>
            <x14:dxf>
              <fill>
                <patternFill>
                  <bgColor theme="9" tint="0.39994506668294322"/>
                </patternFill>
              </fill>
            </x14:dxf>
          </x14:cfRule>
          <x14:cfRule type="containsText" priority="5315" operator="containsText" id="{EAAF3D78-63E5-4DD0-819D-B74182C6B431}">
            <xm:f>NOT(ISERROR(SEARCH($Q$12,AM502)))</xm:f>
            <xm:f>$Q$12</xm:f>
            <x14:dxf>
              <fill>
                <patternFill>
                  <bgColor theme="9" tint="0.79998168889431442"/>
                </patternFill>
              </fill>
            </x14:dxf>
          </x14:cfRule>
          <x14:cfRule type="containsText" priority="5321" operator="containsText" id="{C273162B-5E1F-4BF3-BF5B-FCE925EAB959}">
            <xm:f>NOT(ISERROR(SEARCH($Q$12,AM502)))</xm:f>
            <xm:f>$Q$12</xm:f>
            <x14:dxf>
              <fill>
                <patternFill>
                  <bgColor theme="9" tint="0.59996337778862885"/>
                </patternFill>
              </fill>
            </x14:dxf>
          </x14:cfRule>
          <x14:cfRule type="containsText" priority="5325" operator="containsText" id="{5C2FE345-32AC-417B-A2D5-273E65475FC7}">
            <xm:f>NOT(ISERROR(SEARCH($Q$12,AM502)))</xm:f>
            <xm:f>$Q$12</xm:f>
            <x14:dxf>
              <fill>
                <patternFill>
                  <bgColor rgb="FFFF0000"/>
                </patternFill>
              </fill>
            </x14:dxf>
          </x14:cfRule>
          <x14:cfRule type="containsText" priority="5324" operator="containsText" id="{CE0E99B5-C697-49DB-80C0-054FCECF3D37}">
            <xm:f>NOT(ISERROR(SEARCH($Q$12,AM502)))</xm:f>
            <xm:f>$Q$12</xm:f>
            <x14:dxf>
              <fill>
                <patternFill>
                  <bgColor rgb="FFFFC000"/>
                </patternFill>
              </fill>
            </x14:dxf>
          </x14:cfRule>
          <x14:cfRule type="containsText" priority="5323" operator="containsText" id="{49C61E0F-6C01-49AF-8280-44DF2BFB97A3}">
            <xm:f>NOT(ISERROR(SEARCH($Q$12,AM502)))</xm:f>
            <xm:f>$Q$12</xm:f>
            <x14:dxf>
              <fill>
                <patternFill>
                  <bgColor rgb="FFFFFF00"/>
                </patternFill>
              </fill>
            </x14:dxf>
          </x14:cfRule>
          <x14:cfRule type="containsText" priority="5322" operator="containsText" id="{BB87D47E-C4C0-42AC-B1C4-3F889E4AC567}">
            <xm:f>NOT(ISERROR(SEARCH($Q$12,AM502)))</xm:f>
            <xm:f>$Q$12</xm:f>
            <x14:dxf>
              <fill>
                <patternFill>
                  <bgColor theme="9"/>
                </patternFill>
              </fill>
            </x14:dxf>
          </x14:cfRule>
          <x14:cfRule type="containsText" priority="5320" operator="containsText" id="{E2DFAD56-2F80-46CC-A151-1020E8172442}">
            <xm:f>NOT(ISERROR(SEARCH($Q$12,AM502)))</xm:f>
            <xm:f>$Q$12</xm:f>
            <x14:dxf>
              <fill>
                <patternFill>
                  <bgColor rgb="FFFF0000"/>
                </patternFill>
              </fill>
            </x14:dxf>
          </x14:cfRule>
          <x14:cfRule type="containsText" priority="5319" operator="containsText" id="{102C1EBD-950C-4DEC-A10F-925A68C2A8B5}">
            <xm:f>NOT(ISERROR(SEARCH($Q$12,AM502)))</xm:f>
            <xm:f>$Q$12</xm:f>
            <x14:dxf>
              <fill>
                <patternFill>
                  <bgColor rgb="FFFFC000"/>
                </patternFill>
              </fill>
            </x14:dxf>
          </x14:cfRule>
          <x14:cfRule type="containsText" priority="5318" operator="containsText" id="{E6BA477A-7E3F-43D8-9C1C-777D496B8D1A}">
            <xm:f>NOT(ISERROR(SEARCH($Q$12,AM502)))</xm:f>
            <xm:f>$Q$12</xm:f>
            <x14:dxf>
              <fill>
                <patternFill>
                  <bgColor rgb="FFFFFF00"/>
                </patternFill>
              </fill>
            </x14:dxf>
          </x14:cfRule>
          <x14:cfRule type="containsText" priority="5317" operator="containsText" id="{8498707D-5998-4A56-96BB-28EF9AE6A2B0}">
            <xm:f>NOT(ISERROR(SEARCH($Q$12,AM502)))</xm:f>
            <xm:f>$Q$12</xm:f>
            <x14:dxf>
              <fill>
                <patternFill>
                  <bgColor rgb="FF00B050"/>
                </patternFill>
              </fill>
            </x14:dxf>
          </x14:cfRule>
          <xm:sqref>AM502:AN502</xm:sqref>
        </x14:conditionalFormatting>
        <x14:conditionalFormatting xmlns:xm="http://schemas.microsoft.com/office/excel/2006/main">
          <x14:cfRule type="containsText" priority="5308" operator="containsText" id="{393FA46A-1B3F-4612-99AF-C5A8EB0949F8}">
            <xm:f>NOT(ISERROR(SEARCH($Q$12,AM512)))</xm:f>
            <xm:f>$Q$12</xm:f>
            <x14:dxf>
              <fill>
                <patternFill>
                  <bgColor rgb="FFFFC000"/>
                </patternFill>
              </fill>
            </x14:dxf>
          </x14:cfRule>
          <x14:cfRule type="containsText" priority="5309" operator="containsText" id="{9C872C78-9F5F-42D7-A81C-FFEF3733F5EF}">
            <xm:f>NOT(ISERROR(SEARCH($Q$12,AM512)))</xm:f>
            <xm:f>$Q$12</xm:f>
            <x14:dxf>
              <fill>
                <patternFill>
                  <bgColor rgb="FFFF0000"/>
                </patternFill>
              </fill>
            </x14:dxf>
          </x14:cfRule>
          <x14:cfRule type="containsText" priority="5307" operator="containsText" id="{9D66CE02-7A71-4B7F-90DC-EE0B4400D2A1}">
            <xm:f>NOT(ISERROR(SEARCH($Q$12,AM512)))</xm:f>
            <xm:f>$Q$12</xm:f>
            <x14:dxf>
              <fill>
                <patternFill>
                  <bgColor rgb="FFFFFF00"/>
                </patternFill>
              </fill>
            </x14:dxf>
          </x14:cfRule>
          <x14:cfRule type="containsText" priority="5306" operator="containsText" id="{93B24538-5FB4-42AD-884C-8792200D90B3}">
            <xm:f>NOT(ISERROR(SEARCH($Q$12,AM512)))</xm:f>
            <xm:f>$Q$12</xm:f>
            <x14:dxf>
              <fill>
                <patternFill>
                  <bgColor theme="9"/>
                </patternFill>
              </fill>
            </x14:dxf>
          </x14:cfRule>
          <x14:cfRule type="containsText" priority="5305" operator="containsText" id="{93068FE9-0F8B-4F72-A86F-C83E48259039}">
            <xm:f>NOT(ISERROR(SEARCH($Q$12,AM512)))</xm:f>
            <xm:f>$Q$12</xm:f>
            <x14:dxf>
              <fill>
                <patternFill>
                  <bgColor theme="9" tint="0.59996337778862885"/>
                </patternFill>
              </fill>
            </x14:dxf>
          </x14:cfRule>
          <x14:cfRule type="containsText" priority="5304" operator="containsText" id="{53377A35-995A-46D9-8EAF-FAD5BD21694E}">
            <xm:f>NOT(ISERROR(SEARCH($Q$12,AM512)))</xm:f>
            <xm:f>$Q$12</xm:f>
            <x14:dxf>
              <fill>
                <patternFill>
                  <bgColor rgb="FFFF0000"/>
                </patternFill>
              </fill>
            </x14:dxf>
          </x14:cfRule>
          <x14:cfRule type="containsText" priority="5303" operator="containsText" id="{BA46D55C-2BF1-49D1-AE97-DE5C59DCC3ED}">
            <xm:f>NOT(ISERROR(SEARCH($Q$12,AM512)))</xm:f>
            <xm:f>$Q$12</xm:f>
            <x14:dxf>
              <fill>
                <patternFill>
                  <bgColor rgb="FFFFC000"/>
                </patternFill>
              </fill>
            </x14:dxf>
          </x14:cfRule>
          <x14:cfRule type="containsText" priority="5302" operator="containsText" id="{F5760A7B-72E9-49CB-AF71-DC91A9A13D27}">
            <xm:f>NOT(ISERROR(SEARCH($Q$12,AM512)))</xm:f>
            <xm:f>$Q$12</xm:f>
            <x14:dxf>
              <fill>
                <patternFill>
                  <bgColor rgb="FFFFFF00"/>
                </patternFill>
              </fill>
            </x14:dxf>
          </x14:cfRule>
          <x14:cfRule type="containsText" priority="5301" operator="containsText" id="{8C89578E-F350-4795-8051-23F70003D596}">
            <xm:f>NOT(ISERROR(SEARCH($Q$12,AM512)))</xm:f>
            <xm:f>$Q$12</xm:f>
            <x14:dxf>
              <fill>
                <patternFill>
                  <bgColor rgb="FF00B050"/>
                </patternFill>
              </fill>
            </x14:dxf>
          </x14:cfRule>
          <x14:cfRule type="containsText" priority="5300" operator="containsText" id="{9318A44E-3C17-45AC-8586-1F3EA7546285}">
            <xm:f>NOT(ISERROR(SEARCH($Q$12,AM512)))</xm:f>
            <xm:f>$Q$12</xm:f>
            <x14:dxf>
              <fill>
                <patternFill>
                  <bgColor theme="9" tint="0.39994506668294322"/>
                </patternFill>
              </fill>
            </x14:dxf>
          </x14:cfRule>
          <x14:cfRule type="containsText" priority="5299" operator="containsText" id="{AE8562B7-2CCC-4AE9-9647-FFBB2607E3E5}">
            <xm:f>NOT(ISERROR(SEARCH($Q$12,AM512)))</xm:f>
            <xm:f>$Q$12</xm:f>
            <x14:dxf>
              <fill>
                <patternFill>
                  <bgColor theme="9" tint="0.79998168889431442"/>
                </patternFill>
              </fill>
            </x14:dxf>
          </x14:cfRule>
          <xm:sqref>AM512:AN512</xm:sqref>
        </x14:conditionalFormatting>
        <x14:conditionalFormatting xmlns:xm="http://schemas.microsoft.com/office/excel/2006/main">
          <x14:cfRule type="containsText" priority="5288" operator="containsText" id="{AE962681-D68E-4AD5-9988-FB943AD5E9DD}">
            <xm:f>NOT(ISERROR(SEARCH($Q$12,AM522)))</xm:f>
            <xm:f>$Q$12</xm:f>
            <x14:dxf>
              <fill>
                <patternFill>
                  <bgColor rgb="FFFF0000"/>
                </patternFill>
              </fill>
            </x14:dxf>
          </x14:cfRule>
          <x14:cfRule type="containsText" priority="5289" operator="containsText" id="{D02CC495-B0E3-4A77-AED2-D6249D8F7617}">
            <xm:f>NOT(ISERROR(SEARCH($Q$12,AM522)))</xm:f>
            <xm:f>$Q$12</xm:f>
            <x14:dxf>
              <fill>
                <patternFill>
                  <bgColor theme="9" tint="0.59996337778862885"/>
                </patternFill>
              </fill>
            </x14:dxf>
          </x14:cfRule>
          <x14:cfRule type="containsText" priority="5283" operator="containsText" id="{B6BE09BD-07EF-477F-B931-C6D5781A0DB0}">
            <xm:f>NOT(ISERROR(SEARCH($Q$12,AM522)))</xm:f>
            <xm:f>$Q$12</xm:f>
            <x14:dxf>
              <fill>
                <patternFill>
                  <bgColor theme="9" tint="0.79998168889431442"/>
                </patternFill>
              </fill>
            </x14:dxf>
          </x14:cfRule>
          <x14:cfRule type="containsText" priority="5291" operator="containsText" id="{68C944F0-D366-4C60-937A-B425B83D4EE2}">
            <xm:f>NOT(ISERROR(SEARCH($Q$12,AM522)))</xm:f>
            <xm:f>$Q$12</xm:f>
            <x14:dxf>
              <fill>
                <patternFill>
                  <bgColor rgb="FFFFFF00"/>
                </patternFill>
              </fill>
            </x14:dxf>
          </x14:cfRule>
          <x14:cfRule type="containsText" priority="5284" operator="containsText" id="{6F284C9F-0DEC-4C1B-8821-25E9682B4B1B}">
            <xm:f>NOT(ISERROR(SEARCH($Q$12,AM522)))</xm:f>
            <xm:f>$Q$12</xm:f>
            <x14:dxf>
              <fill>
                <patternFill>
                  <bgColor theme="9" tint="0.39994506668294322"/>
                </patternFill>
              </fill>
            </x14:dxf>
          </x14:cfRule>
          <x14:cfRule type="containsText" priority="5290" operator="containsText" id="{D01EF976-2F4E-4545-AAFC-DF3AB4AEFB77}">
            <xm:f>NOT(ISERROR(SEARCH($Q$12,AM522)))</xm:f>
            <xm:f>$Q$12</xm:f>
            <x14:dxf>
              <fill>
                <patternFill>
                  <bgColor theme="9"/>
                </patternFill>
              </fill>
            </x14:dxf>
          </x14:cfRule>
          <x14:cfRule type="containsText" priority="5286" operator="containsText" id="{2B23AE73-D7BB-49EA-8E37-61B6483F8152}">
            <xm:f>NOT(ISERROR(SEARCH($Q$12,AM522)))</xm:f>
            <xm:f>$Q$12</xm:f>
            <x14:dxf>
              <fill>
                <patternFill>
                  <bgColor rgb="FFFFFF00"/>
                </patternFill>
              </fill>
            </x14:dxf>
          </x14:cfRule>
          <x14:cfRule type="containsText" priority="5287" operator="containsText" id="{E943D99F-BD54-4B7E-BCD7-BBFD392D49F6}">
            <xm:f>NOT(ISERROR(SEARCH($Q$12,AM522)))</xm:f>
            <xm:f>$Q$12</xm:f>
            <x14:dxf>
              <fill>
                <patternFill>
                  <bgColor rgb="FFFFC000"/>
                </patternFill>
              </fill>
            </x14:dxf>
          </x14:cfRule>
          <x14:cfRule type="containsText" priority="5285" operator="containsText" id="{7C6E22B2-B7F0-41CC-BECF-4A1CF541AC54}">
            <xm:f>NOT(ISERROR(SEARCH($Q$12,AM522)))</xm:f>
            <xm:f>$Q$12</xm:f>
            <x14:dxf>
              <fill>
                <patternFill>
                  <bgColor rgb="FF00B050"/>
                </patternFill>
              </fill>
            </x14:dxf>
          </x14:cfRule>
          <x14:cfRule type="containsText" priority="5292" operator="containsText" id="{7C412360-A6FB-4273-A43F-A10B611CB5C2}">
            <xm:f>NOT(ISERROR(SEARCH($Q$12,AM522)))</xm:f>
            <xm:f>$Q$12</xm:f>
            <x14:dxf>
              <fill>
                <patternFill>
                  <bgColor rgb="FFFFC000"/>
                </patternFill>
              </fill>
            </x14:dxf>
          </x14:cfRule>
          <x14:cfRule type="containsText" priority="5293" operator="containsText" id="{8E45EF55-51A3-4FF1-BEA2-3ABBA30874D4}">
            <xm:f>NOT(ISERROR(SEARCH($Q$12,AM522)))</xm:f>
            <xm:f>$Q$12</xm:f>
            <x14:dxf>
              <fill>
                <patternFill>
                  <bgColor rgb="FFFF0000"/>
                </patternFill>
              </fill>
            </x14:dxf>
          </x14:cfRule>
          <xm:sqref>AM522:AN522</xm:sqref>
        </x14:conditionalFormatting>
        <x14:conditionalFormatting xmlns:xm="http://schemas.microsoft.com/office/excel/2006/main">
          <x14:cfRule type="containsText" priority="4851" operator="containsText" id="{BD47843F-8919-4EFE-BEF5-14D4390AA300}">
            <xm:f>NOT(ISERROR(SEARCH($Q$12,AM532)))</xm:f>
            <xm:f>$Q$12</xm:f>
            <x14:dxf>
              <fill>
                <patternFill>
                  <bgColor rgb="FFFFFF00"/>
                </patternFill>
              </fill>
            </x14:dxf>
          </x14:cfRule>
          <xm:sqref>AM532:AN532</xm:sqref>
        </x14:conditionalFormatting>
        <x14:conditionalFormatting xmlns:xm="http://schemas.microsoft.com/office/excel/2006/main">
          <x14:cfRule type="containsText" priority="4956" operator="containsText" id="{F54DD98F-FEFC-4D67-9DE4-09371910B550}">
            <xm:f>NOT(ISERROR(SEARCH($Q$12,AM542)))</xm:f>
            <xm:f>$Q$12</xm:f>
            <x14:dxf>
              <fill>
                <patternFill>
                  <bgColor theme="9"/>
                </patternFill>
              </fill>
            </x14:dxf>
          </x14:cfRule>
          <x14:cfRule type="containsText" priority="4954" operator="containsText" id="{CF5187E9-4FAB-45D9-A037-F8238B85B28A}">
            <xm:f>NOT(ISERROR(SEARCH($Q$12,AM542)))</xm:f>
            <xm:f>$Q$12</xm:f>
            <x14:dxf>
              <fill>
                <patternFill>
                  <bgColor rgb="FFFF0000"/>
                </patternFill>
              </fill>
            </x14:dxf>
          </x14:cfRule>
          <x14:cfRule type="containsText" priority="4953" operator="containsText" id="{F5747E78-5C63-46BA-9D8D-229E0CF6383F}">
            <xm:f>NOT(ISERROR(SEARCH($Q$12,AM542)))</xm:f>
            <xm:f>$Q$12</xm:f>
            <x14:dxf>
              <fill>
                <patternFill>
                  <bgColor rgb="FFFFC000"/>
                </patternFill>
              </fill>
            </x14:dxf>
          </x14:cfRule>
          <x14:cfRule type="containsText" priority="4952" operator="containsText" id="{72123F27-7753-4203-B8F4-F10804AEC557}">
            <xm:f>NOT(ISERROR(SEARCH($Q$12,AM542)))</xm:f>
            <xm:f>$Q$12</xm:f>
            <x14:dxf>
              <fill>
                <patternFill>
                  <bgColor rgb="FFFFFF00"/>
                </patternFill>
              </fill>
            </x14:dxf>
          </x14:cfRule>
          <x14:cfRule type="containsText" priority="4951" operator="containsText" id="{5E61FB4F-4EAD-4CB1-8976-CBCF9FDFDB05}">
            <xm:f>NOT(ISERROR(SEARCH($Q$12,AM542)))</xm:f>
            <xm:f>$Q$12</xm:f>
            <x14:dxf>
              <fill>
                <patternFill>
                  <bgColor rgb="FF00B050"/>
                </patternFill>
              </fill>
            </x14:dxf>
          </x14:cfRule>
          <x14:cfRule type="containsText" priority="4950" operator="containsText" id="{ED60BAD2-B64B-481D-9F36-30ED7EABD58C}">
            <xm:f>NOT(ISERROR(SEARCH($Q$12,AM542)))</xm:f>
            <xm:f>$Q$12</xm:f>
            <x14:dxf>
              <fill>
                <patternFill>
                  <bgColor theme="9" tint="0.39994506668294322"/>
                </patternFill>
              </fill>
            </x14:dxf>
          </x14:cfRule>
          <x14:cfRule type="containsText" priority="4949" operator="containsText" id="{897F4B3B-BBA4-425C-B95F-3046ACBBAB4A}">
            <xm:f>NOT(ISERROR(SEARCH($Q$12,AM542)))</xm:f>
            <xm:f>$Q$12</xm:f>
            <x14:dxf>
              <fill>
                <patternFill>
                  <bgColor theme="9" tint="0.79998168889431442"/>
                </patternFill>
              </fill>
            </x14:dxf>
          </x14:cfRule>
          <x14:cfRule type="containsText" priority="4959" operator="containsText" id="{958690FE-0BB1-4351-A30A-E4DE3EF16D21}">
            <xm:f>NOT(ISERROR(SEARCH($Q$12,AM542)))</xm:f>
            <xm:f>$Q$12</xm:f>
            <x14:dxf>
              <fill>
                <patternFill>
                  <bgColor rgb="FFFF0000"/>
                </patternFill>
              </fill>
            </x14:dxf>
          </x14:cfRule>
          <x14:cfRule type="containsText" priority="4955" operator="containsText" id="{40CCA192-6B06-4BF3-BBC0-332A9257A952}">
            <xm:f>NOT(ISERROR(SEARCH($Q$12,AM542)))</xm:f>
            <xm:f>$Q$12</xm:f>
            <x14:dxf>
              <fill>
                <patternFill>
                  <bgColor theme="9" tint="0.59996337778862885"/>
                </patternFill>
              </fill>
            </x14:dxf>
          </x14:cfRule>
          <x14:cfRule type="containsText" priority="4958" operator="containsText" id="{B48B2180-4446-4BDD-AC8F-B123FB32D870}">
            <xm:f>NOT(ISERROR(SEARCH($Q$12,AM542)))</xm:f>
            <xm:f>$Q$12</xm:f>
            <x14:dxf>
              <fill>
                <patternFill>
                  <bgColor rgb="FFFFC000"/>
                </patternFill>
              </fill>
            </x14:dxf>
          </x14:cfRule>
          <x14:cfRule type="containsText" priority="4957" operator="containsText" id="{A1C707B1-C3A1-4C02-A87C-8E9C6D5F27CC}">
            <xm:f>NOT(ISERROR(SEARCH($Q$12,AM542)))</xm:f>
            <xm:f>$Q$12</xm:f>
            <x14:dxf>
              <fill>
                <patternFill>
                  <bgColor rgb="FFFFFF00"/>
                </patternFill>
              </fill>
            </x14:dxf>
          </x14:cfRule>
          <xm:sqref>AM542:AN542</xm:sqref>
        </x14:conditionalFormatting>
        <x14:conditionalFormatting xmlns:xm="http://schemas.microsoft.com/office/excel/2006/main">
          <x14:cfRule type="containsText" priority="4805" operator="containsText" id="{AA4D3165-6E54-4031-A13C-6565CCD83321}">
            <xm:f>NOT(ISERROR(SEARCH($Q$12,AM552)))</xm:f>
            <xm:f>$Q$12</xm:f>
            <x14:dxf>
              <fill>
                <patternFill>
                  <bgColor rgb="FFFF0000"/>
                </patternFill>
              </fill>
            </x14:dxf>
          </x14:cfRule>
          <x14:cfRule type="containsText" priority="4804" operator="containsText" id="{EA8A64E5-BF62-4794-8D1D-D180341FDB98}">
            <xm:f>NOT(ISERROR(SEARCH($Q$12,AM552)))</xm:f>
            <xm:f>$Q$12</xm:f>
            <x14:dxf>
              <fill>
                <patternFill>
                  <bgColor rgb="FFFFC000"/>
                </patternFill>
              </fill>
            </x14:dxf>
          </x14:cfRule>
          <x14:cfRule type="containsText" priority="4796" operator="containsText" id="{5943257A-0DAB-4700-9E42-0DE56FB87B49}">
            <xm:f>NOT(ISERROR(SEARCH($Q$12,AM552)))</xm:f>
            <xm:f>$Q$12</xm:f>
            <x14:dxf>
              <fill>
                <patternFill>
                  <bgColor theme="9" tint="0.39994506668294322"/>
                </patternFill>
              </fill>
            </x14:dxf>
          </x14:cfRule>
          <x14:cfRule type="containsText" priority="4802" operator="containsText" id="{75D52231-FC48-496C-9046-2F304F210DB5}">
            <xm:f>NOT(ISERROR(SEARCH($Q$12,AM552)))</xm:f>
            <xm:f>$Q$12</xm:f>
            <x14:dxf>
              <fill>
                <patternFill>
                  <bgColor theme="9"/>
                </patternFill>
              </fill>
            </x14:dxf>
          </x14:cfRule>
          <x14:cfRule type="containsText" priority="4801" operator="containsText" id="{47FDF196-7554-4DC6-A8BF-FF6A5CCCEF82}">
            <xm:f>NOT(ISERROR(SEARCH($Q$12,AM552)))</xm:f>
            <xm:f>$Q$12</xm:f>
            <x14:dxf>
              <fill>
                <patternFill>
                  <bgColor theme="9" tint="0.59996337778862885"/>
                </patternFill>
              </fill>
            </x14:dxf>
          </x14:cfRule>
          <x14:cfRule type="containsText" priority="4800" operator="containsText" id="{40A576E4-48A5-4EAF-9F5C-56354C0EC8FA}">
            <xm:f>NOT(ISERROR(SEARCH($Q$12,AM552)))</xm:f>
            <xm:f>$Q$12</xm:f>
            <x14:dxf>
              <fill>
                <patternFill>
                  <bgColor rgb="FFFF0000"/>
                </patternFill>
              </fill>
            </x14:dxf>
          </x14:cfRule>
          <x14:cfRule type="containsText" priority="4799" operator="containsText" id="{8D9001AC-53F3-4136-924C-4D26B5F661D5}">
            <xm:f>NOT(ISERROR(SEARCH($Q$12,AM552)))</xm:f>
            <xm:f>$Q$12</xm:f>
            <x14:dxf>
              <fill>
                <patternFill>
                  <bgColor rgb="FFFFC000"/>
                </patternFill>
              </fill>
            </x14:dxf>
          </x14:cfRule>
          <x14:cfRule type="containsText" priority="4798" operator="containsText" id="{67508010-7F3A-4160-9976-855B9C3F4F0B}">
            <xm:f>NOT(ISERROR(SEARCH($Q$12,AM552)))</xm:f>
            <xm:f>$Q$12</xm:f>
            <x14:dxf>
              <fill>
                <patternFill>
                  <bgColor rgb="FFFFFF00"/>
                </patternFill>
              </fill>
            </x14:dxf>
          </x14:cfRule>
          <x14:cfRule type="containsText" priority="4795" operator="containsText" id="{F641A8AB-0A0A-4600-9C79-57599ADB323A}">
            <xm:f>NOT(ISERROR(SEARCH($Q$12,AM552)))</xm:f>
            <xm:f>$Q$12</xm:f>
            <x14:dxf>
              <fill>
                <patternFill>
                  <bgColor theme="9" tint="0.79998168889431442"/>
                </patternFill>
              </fill>
            </x14:dxf>
          </x14:cfRule>
          <x14:cfRule type="containsText" priority="4797" operator="containsText" id="{CF06527D-D3B3-49A8-BE19-F5208F805669}">
            <xm:f>NOT(ISERROR(SEARCH($Q$12,AM552)))</xm:f>
            <xm:f>$Q$12</xm:f>
            <x14:dxf>
              <fill>
                <patternFill>
                  <bgColor rgb="FF00B050"/>
                </patternFill>
              </fill>
            </x14:dxf>
          </x14:cfRule>
          <x14:cfRule type="containsText" priority="4803" operator="containsText" id="{7CCF15CA-A786-42E7-85BF-5A273EA43E5A}">
            <xm:f>NOT(ISERROR(SEARCH($Q$12,AM552)))</xm:f>
            <xm:f>$Q$12</xm:f>
            <x14:dxf>
              <fill>
                <patternFill>
                  <bgColor rgb="FFFFFF00"/>
                </patternFill>
              </fill>
            </x14:dxf>
          </x14:cfRule>
          <xm:sqref>AM552:AN552</xm:sqref>
        </x14:conditionalFormatting>
        <x14:conditionalFormatting xmlns:xm="http://schemas.microsoft.com/office/excel/2006/main">
          <x14:cfRule type="containsText" priority="4684" operator="containsText" id="{3EBB9215-D448-4532-B4C0-AB77E33D93B8}">
            <xm:f>NOT(ISERROR(SEARCH($Q$12,AM562)))</xm:f>
            <xm:f>$Q$12</xm:f>
            <x14:dxf>
              <fill>
                <patternFill>
                  <bgColor theme="9" tint="0.39994506668294322"/>
                </patternFill>
              </fill>
            </x14:dxf>
          </x14:cfRule>
          <x14:cfRule type="containsText" priority="4686" operator="containsText" id="{300C20C3-EFF8-4ABC-9B00-512C9A444A4A}">
            <xm:f>NOT(ISERROR(SEARCH($Q$12,AM562)))</xm:f>
            <xm:f>$Q$12</xm:f>
            <x14:dxf>
              <fill>
                <patternFill>
                  <bgColor rgb="FFFFFF00"/>
                </patternFill>
              </fill>
            </x14:dxf>
          </x14:cfRule>
          <x14:cfRule type="containsText" priority="4687" operator="containsText" id="{E77A57CE-72AE-462C-A6F4-40A394CB1FB7}">
            <xm:f>NOT(ISERROR(SEARCH($Q$12,AM562)))</xm:f>
            <xm:f>$Q$12</xm:f>
            <x14:dxf>
              <fill>
                <patternFill>
                  <bgColor rgb="FFFFC000"/>
                </patternFill>
              </fill>
            </x14:dxf>
          </x14:cfRule>
          <x14:cfRule type="containsText" priority="4688" operator="containsText" id="{B5DEE913-54CB-4627-B8FD-CE0C1E90D47A}">
            <xm:f>NOT(ISERROR(SEARCH($Q$12,AM562)))</xm:f>
            <xm:f>$Q$12</xm:f>
            <x14:dxf>
              <fill>
                <patternFill>
                  <bgColor rgb="FFFF0000"/>
                </patternFill>
              </fill>
            </x14:dxf>
          </x14:cfRule>
          <x14:cfRule type="containsText" priority="4689" operator="containsText" id="{F0BAE9D8-BB41-4555-AD15-40B8B64CB03C}">
            <xm:f>NOT(ISERROR(SEARCH($Q$12,AM562)))</xm:f>
            <xm:f>$Q$12</xm:f>
            <x14:dxf>
              <fill>
                <patternFill>
                  <bgColor theme="9" tint="0.59996337778862885"/>
                </patternFill>
              </fill>
            </x14:dxf>
          </x14:cfRule>
          <x14:cfRule type="containsText" priority="4690" operator="containsText" id="{418A80DA-40C3-4CA5-ACBD-CB338FA7EF69}">
            <xm:f>NOT(ISERROR(SEARCH($Q$12,AM562)))</xm:f>
            <xm:f>$Q$12</xm:f>
            <x14:dxf>
              <fill>
                <patternFill>
                  <bgColor theme="9"/>
                </patternFill>
              </fill>
            </x14:dxf>
          </x14:cfRule>
          <x14:cfRule type="containsText" priority="4691" operator="containsText" id="{EFD9656A-1957-432A-839C-FE169DA5A037}">
            <xm:f>NOT(ISERROR(SEARCH($Q$12,AM562)))</xm:f>
            <xm:f>$Q$12</xm:f>
            <x14:dxf>
              <fill>
                <patternFill>
                  <bgColor rgb="FFFFFF00"/>
                </patternFill>
              </fill>
            </x14:dxf>
          </x14:cfRule>
          <x14:cfRule type="containsText" priority="4692" operator="containsText" id="{AFB32B97-619C-49CB-AAF1-F3BE020B52F9}">
            <xm:f>NOT(ISERROR(SEARCH($Q$12,AM562)))</xm:f>
            <xm:f>$Q$12</xm:f>
            <x14:dxf>
              <fill>
                <patternFill>
                  <bgColor rgb="FFFFC000"/>
                </patternFill>
              </fill>
            </x14:dxf>
          </x14:cfRule>
          <x14:cfRule type="containsText" priority="4693" operator="containsText" id="{F5219E1C-C32C-4FA7-A7AC-523D027A22BA}">
            <xm:f>NOT(ISERROR(SEARCH($Q$12,AM562)))</xm:f>
            <xm:f>$Q$12</xm:f>
            <x14:dxf>
              <fill>
                <patternFill>
                  <bgColor rgb="FFFF0000"/>
                </patternFill>
              </fill>
            </x14:dxf>
          </x14:cfRule>
          <x14:cfRule type="containsText" priority="4685" operator="containsText" id="{3257EEE7-735C-42A2-AA67-0988B9CC8905}">
            <xm:f>NOT(ISERROR(SEARCH($Q$12,AM562)))</xm:f>
            <xm:f>$Q$12</xm:f>
            <x14:dxf>
              <fill>
                <patternFill>
                  <bgColor rgb="FF00B050"/>
                </patternFill>
              </fill>
            </x14:dxf>
          </x14:cfRule>
          <x14:cfRule type="containsText" priority="4683" operator="containsText" id="{470B8328-E9BF-4BF9-AFE4-BB247F9436D1}">
            <xm:f>NOT(ISERROR(SEARCH($Q$12,AM562)))</xm:f>
            <xm:f>$Q$12</xm:f>
            <x14:dxf>
              <fill>
                <patternFill>
                  <bgColor theme="9" tint="0.79998168889431442"/>
                </patternFill>
              </fill>
            </x14:dxf>
          </x14:cfRule>
          <xm:sqref>AM562:AN562</xm:sqref>
        </x14:conditionalFormatting>
        <x14:conditionalFormatting xmlns:xm="http://schemas.microsoft.com/office/excel/2006/main">
          <x14:cfRule type="containsText" priority="4676" operator="containsText" id="{334C9C15-1B1A-4580-8E7B-2BE9D0FBF75F}">
            <xm:f>NOT(ISERROR(SEARCH($Q$12,AM572)))</xm:f>
            <xm:f>$Q$12</xm:f>
            <x14:dxf>
              <fill>
                <patternFill>
                  <bgColor rgb="FFFFC000"/>
                </patternFill>
              </fill>
            </x14:dxf>
          </x14:cfRule>
          <x14:cfRule type="containsText" priority="4675" operator="containsText" id="{9D14A93D-D231-4EF7-928B-54C75249AECD}">
            <xm:f>NOT(ISERROR(SEARCH($Q$12,AM572)))</xm:f>
            <xm:f>$Q$12</xm:f>
            <x14:dxf>
              <fill>
                <patternFill>
                  <bgColor rgb="FFFFFF00"/>
                </patternFill>
              </fill>
            </x14:dxf>
          </x14:cfRule>
          <x14:cfRule type="containsText" priority="4677" operator="containsText" id="{984A8FE0-CB69-4E38-8B49-B360408E5508}">
            <xm:f>NOT(ISERROR(SEARCH($Q$12,AM572)))</xm:f>
            <xm:f>$Q$12</xm:f>
            <x14:dxf>
              <fill>
                <patternFill>
                  <bgColor rgb="FFFF0000"/>
                </patternFill>
              </fill>
            </x14:dxf>
          </x14:cfRule>
          <x14:cfRule type="containsText" priority="4674" operator="containsText" id="{A901A18F-5748-4EF6-BEF8-4A9EBFD7FDD8}">
            <xm:f>NOT(ISERROR(SEARCH($Q$12,AM572)))</xm:f>
            <xm:f>$Q$12</xm:f>
            <x14:dxf>
              <fill>
                <patternFill>
                  <bgColor theme="9"/>
                </patternFill>
              </fill>
            </x14:dxf>
          </x14:cfRule>
          <x14:cfRule type="containsText" priority="4673" operator="containsText" id="{28B79513-68F1-4F1C-8581-7436FE58CB69}">
            <xm:f>NOT(ISERROR(SEARCH($Q$12,AM572)))</xm:f>
            <xm:f>$Q$12</xm:f>
            <x14:dxf>
              <fill>
                <patternFill>
                  <bgColor theme="9" tint="0.59996337778862885"/>
                </patternFill>
              </fill>
            </x14:dxf>
          </x14:cfRule>
          <x14:cfRule type="containsText" priority="4672" operator="containsText" id="{4D58F081-52B2-463F-801C-FC290F24B5E8}">
            <xm:f>NOT(ISERROR(SEARCH($Q$12,AM572)))</xm:f>
            <xm:f>$Q$12</xm:f>
            <x14:dxf>
              <fill>
                <patternFill>
                  <bgColor rgb="FFFF0000"/>
                </patternFill>
              </fill>
            </x14:dxf>
          </x14:cfRule>
          <x14:cfRule type="containsText" priority="4671" operator="containsText" id="{C5192466-DA4C-4758-997B-9E90886E80C9}">
            <xm:f>NOT(ISERROR(SEARCH($Q$12,AM572)))</xm:f>
            <xm:f>$Q$12</xm:f>
            <x14:dxf>
              <fill>
                <patternFill>
                  <bgColor rgb="FFFFC000"/>
                </patternFill>
              </fill>
            </x14:dxf>
          </x14:cfRule>
          <x14:cfRule type="containsText" priority="4670" operator="containsText" id="{46E99570-A1B4-444D-AEBC-D66A6ECED7D5}">
            <xm:f>NOT(ISERROR(SEARCH($Q$12,AM572)))</xm:f>
            <xm:f>$Q$12</xm:f>
            <x14:dxf>
              <fill>
                <patternFill>
                  <bgColor rgb="FFFFFF00"/>
                </patternFill>
              </fill>
            </x14:dxf>
          </x14:cfRule>
          <x14:cfRule type="containsText" priority="4669" operator="containsText" id="{4BAD42FF-064C-4D2D-8F96-2958C89B2DB5}">
            <xm:f>NOT(ISERROR(SEARCH($Q$12,AM572)))</xm:f>
            <xm:f>$Q$12</xm:f>
            <x14:dxf>
              <fill>
                <patternFill>
                  <bgColor rgb="FF00B050"/>
                </patternFill>
              </fill>
            </x14:dxf>
          </x14:cfRule>
          <x14:cfRule type="containsText" priority="4668" operator="containsText" id="{391D9DA1-F418-4E8A-B1D1-AC2501F43C29}">
            <xm:f>NOT(ISERROR(SEARCH($Q$12,AM572)))</xm:f>
            <xm:f>$Q$12</xm:f>
            <x14:dxf>
              <fill>
                <patternFill>
                  <bgColor theme="9" tint="0.39994506668294322"/>
                </patternFill>
              </fill>
            </x14:dxf>
          </x14:cfRule>
          <x14:cfRule type="containsText" priority="4667" operator="containsText" id="{CADC8EEB-6692-4226-BE85-F9A39D9F21AC}">
            <xm:f>NOT(ISERROR(SEARCH($Q$12,AM572)))</xm:f>
            <xm:f>$Q$12</xm:f>
            <x14:dxf>
              <fill>
                <patternFill>
                  <bgColor theme="9" tint="0.79998168889431442"/>
                </patternFill>
              </fill>
            </x14:dxf>
          </x14:cfRule>
          <xm:sqref>AM572:AN572</xm:sqref>
        </x14:conditionalFormatting>
        <x14:conditionalFormatting xmlns:xm="http://schemas.microsoft.com/office/excel/2006/main">
          <x14:cfRule type="containsText" priority="4491" operator="containsText" id="{81306906-C33D-41E8-A536-2BA524107A5E}">
            <xm:f>NOT(ISERROR(SEARCH($Q$12,AM582)))</xm:f>
            <xm:f>$Q$12</xm:f>
            <x14:dxf>
              <fill>
                <patternFill>
                  <bgColor rgb="FFFF0000"/>
                </patternFill>
              </fill>
            </x14:dxf>
          </x14:cfRule>
          <x14:cfRule type="containsText" priority="4490" operator="containsText" id="{860E22E8-0F91-49DD-BC67-885638A96F6B}">
            <xm:f>NOT(ISERROR(SEARCH($Q$12,AM582)))</xm:f>
            <xm:f>$Q$12</xm:f>
            <x14:dxf>
              <fill>
                <patternFill>
                  <bgColor rgb="FFFFC000"/>
                </patternFill>
              </fill>
            </x14:dxf>
          </x14:cfRule>
          <x14:cfRule type="containsText" priority="4489" operator="containsText" id="{FC4E2545-25F7-4E3D-91AD-5CEC50B5C403}">
            <xm:f>NOT(ISERROR(SEARCH($Q$12,AM582)))</xm:f>
            <xm:f>$Q$12</xm:f>
            <x14:dxf>
              <fill>
                <patternFill>
                  <bgColor rgb="FFFFFF00"/>
                </patternFill>
              </fill>
            </x14:dxf>
          </x14:cfRule>
          <x14:cfRule type="containsText" priority="4488" operator="containsText" id="{FB4DC8D3-23C7-4553-A7E1-F23948BBB9C4}">
            <xm:f>NOT(ISERROR(SEARCH($Q$12,AM582)))</xm:f>
            <xm:f>$Q$12</xm:f>
            <x14:dxf>
              <fill>
                <patternFill>
                  <bgColor theme="9"/>
                </patternFill>
              </fill>
            </x14:dxf>
          </x14:cfRule>
          <x14:cfRule type="containsText" priority="4487" operator="containsText" id="{5896DEB6-F336-40C0-8E7B-7AA794798453}">
            <xm:f>NOT(ISERROR(SEARCH($Q$12,AM582)))</xm:f>
            <xm:f>$Q$12</xm:f>
            <x14:dxf>
              <fill>
                <patternFill>
                  <bgColor theme="9" tint="0.59996337778862885"/>
                </patternFill>
              </fill>
            </x14:dxf>
          </x14:cfRule>
          <x14:cfRule type="containsText" priority="4486" operator="containsText" id="{10B159ED-2DF3-49C1-B400-4FE8CEA42759}">
            <xm:f>NOT(ISERROR(SEARCH($Q$12,AM582)))</xm:f>
            <xm:f>$Q$12</xm:f>
            <x14:dxf>
              <fill>
                <patternFill>
                  <bgColor rgb="FFFF0000"/>
                </patternFill>
              </fill>
            </x14:dxf>
          </x14:cfRule>
          <x14:cfRule type="containsText" priority="4485" operator="containsText" id="{DC2599F8-7CBC-44F5-B374-D8BD00F17F84}">
            <xm:f>NOT(ISERROR(SEARCH($Q$12,AM582)))</xm:f>
            <xm:f>$Q$12</xm:f>
            <x14:dxf>
              <fill>
                <patternFill>
                  <bgColor rgb="FFFFC000"/>
                </patternFill>
              </fill>
            </x14:dxf>
          </x14:cfRule>
          <x14:cfRule type="containsText" priority="4484" operator="containsText" id="{AC25591F-A1FA-44C9-AA21-D0A80681B858}">
            <xm:f>NOT(ISERROR(SEARCH($Q$12,AM582)))</xm:f>
            <xm:f>$Q$12</xm:f>
            <x14:dxf>
              <fill>
                <patternFill>
                  <bgColor rgb="FFFFFF00"/>
                </patternFill>
              </fill>
            </x14:dxf>
          </x14:cfRule>
          <x14:cfRule type="containsText" priority="4483" operator="containsText" id="{F5152742-D6B8-44A2-A6A6-82BCDD450999}">
            <xm:f>NOT(ISERROR(SEARCH($Q$12,AM582)))</xm:f>
            <xm:f>$Q$12</xm:f>
            <x14:dxf>
              <fill>
                <patternFill>
                  <bgColor rgb="FF00B050"/>
                </patternFill>
              </fill>
            </x14:dxf>
          </x14:cfRule>
          <x14:cfRule type="containsText" priority="4482" operator="containsText" id="{0BD22165-9BD5-492A-A73A-9C4FB4844609}">
            <xm:f>NOT(ISERROR(SEARCH($Q$12,AM582)))</xm:f>
            <xm:f>$Q$12</xm:f>
            <x14:dxf>
              <fill>
                <patternFill>
                  <bgColor theme="9" tint="0.39994506668294322"/>
                </patternFill>
              </fill>
            </x14:dxf>
          </x14:cfRule>
          <x14:cfRule type="containsText" priority="4481" operator="containsText" id="{0CEECE20-7671-413C-AE48-E1E6B5080D65}">
            <xm:f>NOT(ISERROR(SEARCH($Q$12,AM582)))</xm:f>
            <xm:f>$Q$12</xm:f>
            <x14:dxf>
              <fill>
                <patternFill>
                  <bgColor theme="9" tint="0.79998168889431442"/>
                </patternFill>
              </fill>
            </x14:dxf>
          </x14:cfRule>
          <xm:sqref>AM582:AN582</xm:sqref>
        </x14:conditionalFormatting>
        <x14:conditionalFormatting xmlns:xm="http://schemas.microsoft.com/office/excel/2006/main">
          <x14:cfRule type="containsText" priority="4472" operator="containsText" id="{F835778B-8165-4E80-A71B-292D70569A2A}">
            <xm:f>NOT(ISERROR(SEARCH($Q$12,AM592)))</xm:f>
            <xm:f>$Q$12</xm:f>
            <x14:dxf>
              <fill>
                <patternFill>
                  <bgColor theme="9"/>
                </patternFill>
              </fill>
            </x14:dxf>
          </x14:cfRule>
          <x14:cfRule type="containsText" priority="4470" operator="containsText" id="{3DA31434-AB7A-40E5-B3E9-6C6AF0C619BF}">
            <xm:f>NOT(ISERROR(SEARCH($Q$12,AM592)))</xm:f>
            <xm:f>$Q$12</xm:f>
            <x14:dxf>
              <fill>
                <patternFill>
                  <bgColor rgb="FFFF0000"/>
                </patternFill>
              </fill>
            </x14:dxf>
          </x14:cfRule>
          <x14:cfRule type="containsText" priority="4469" operator="containsText" id="{FC910ED0-51CB-49B7-9B7D-678A85CF95A6}">
            <xm:f>NOT(ISERROR(SEARCH($Q$12,AM592)))</xm:f>
            <xm:f>$Q$12</xm:f>
            <x14:dxf>
              <fill>
                <patternFill>
                  <bgColor rgb="FFFFC000"/>
                </patternFill>
              </fill>
            </x14:dxf>
          </x14:cfRule>
          <x14:cfRule type="containsText" priority="4468" operator="containsText" id="{2ACEB00C-9CA6-48C8-8BD7-35332505B5CA}">
            <xm:f>NOT(ISERROR(SEARCH($Q$12,AM592)))</xm:f>
            <xm:f>$Q$12</xm:f>
            <x14:dxf>
              <fill>
                <patternFill>
                  <bgColor rgb="FFFFFF00"/>
                </patternFill>
              </fill>
            </x14:dxf>
          </x14:cfRule>
          <x14:cfRule type="containsText" priority="4471" operator="containsText" id="{FDE2D9FF-F389-4357-9FF0-E4E953F1BC8C}">
            <xm:f>NOT(ISERROR(SEARCH($Q$12,AM592)))</xm:f>
            <xm:f>$Q$12</xm:f>
            <x14:dxf>
              <fill>
                <patternFill>
                  <bgColor theme="9" tint="0.59996337778862885"/>
                </patternFill>
              </fill>
            </x14:dxf>
          </x14:cfRule>
          <x14:cfRule type="containsText" priority="4465" operator="containsText" id="{64FC5663-7CB8-4B84-A586-6D322C67C151}">
            <xm:f>NOT(ISERROR(SEARCH($Q$12,AM592)))</xm:f>
            <xm:f>$Q$12</xm:f>
            <x14:dxf>
              <fill>
                <patternFill>
                  <bgColor theme="9" tint="0.79998168889431442"/>
                </patternFill>
              </fill>
            </x14:dxf>
          </x14:cfRule>
          <x14:cfRule type="containsText" priority="4466" operator="containsText" id="{8EF5CC0B-28C0-417C-A062-5C6BDCF74A43}">
            <xm:f>NOT(ISERROR(SEARCH($Q$12,AM592)))</xm:f>
            <xm:f>$Q$12</xm:f>
            <x14:dxf>
              <fill>
                <patternFill>
                  <bgColor theme="9" tint="0.39994506668294322"/>
                </patternFill>
              </fill>
            </x14:dxf>
          </x14:cfRule>
          <x14:cfRule type="containsText" priority="4473" operator="containsText" id="{21D49057-C1E3-4773-B171-D2F7F09B542E}">
            <xm:f>NOT(ISERROR(SEARCH($Q$12,AM592)))</xm:f>
            <xm:f>$Q$12</xm:f>
            <x14:dxf>
              <fill>
                <patternFill>
                  <bgColor rgb="FFFFFF00"/>
                </patternFill>
              </fill>
            </x14:dxf>
          </x14:cfRule>
          <x14:cfRule type="containsText" priority="4474" operator="containsText" id="{BBE74BE1-EC36-4C4D-A680-BAAA650305FF}">
            <xm:f>NOT(ISERROR(SEARCH($Q$12,AM592)))</xm:f>
            <xm:f>$Q$12</xm:f>
            <x14:dxf>
              <fill>
                <patternFill>
                  <bgColor rgb="FFFFC000"/>
                </patternFill>
              </fill>
            </x14:dxf>
          </x14:cfRule>
          <x14:cfRule type="containsText" priority="4475" operator="containsText" id="{C8306F88-F42F-436F-BCB3-B877D8DEB522}">
            <xm:f>NOT(ISERROR(SEARCH($Q$12,AM592)))</xm:f>
            <xm:f>$Q$12</xm:f>
            <x14:dxf>
              <fill>
                <patternFill>
                  <bgColor rgb="FFFF0000"/>
                </patternFill>
              </fill>
            </x14:dxf>
          </x14:cfRule>
          <x14:cfRule type="containsText" priority="4467" operator="containsText" id="{647F91C6-6DC4-4695-B107-0EAF1CAB8556}">
            <xm:f>NOT(ISERROR(SEARCH($Q$12,AM592)))</xm:f>
            <xm:f>$Q$12</xm:f>
            <x14:dxf>
              <fill>
                <patternFill>
                  <bgColor rgb="FF00B050"/>
                </patternFill>
              </fill>
            </x14:dxf>
          </x14:cfRule>
          <xm:sqref>AM592:AN592</xm:sqref>
        </x14:conditionalFormatting>
        <x14:conditionalFormatting xmlns:xm="http://schemas.microsoft.com/office/excel/2006/main">
          <x14:cfRule type="containsText" priority="4453" operator="containsText" id="{677EE5D1-8EDF-444D-A5AD-114B0D7DDC59}">
            <xm:f>NOT(ISERROR(SEARCH($Q$12,AM602)))</xm:f>
            <xm:f>$Q$12</xm:f>
            <x14:dxf>
              <fill>
                <patternFill>
                  <bgColor rgb="FFFFC000"/>
                </patternFill>
              </fill>
            </x14:dxf>
          </x14:cfRule>
          <x14:cfRule type="containsText" priority="4450" operator="containsText" id="{E62B139D-3F4C-4071-B6C0-CD35EB830DFD}">
            <xm:f>NOT(ISERROR(SEARCH($Q$12,AM602)))</xm:f>
            <xm:f>$Q$12</xm:f>
            <x14:dxf>
              <fill>
                <patternFill>
                  <bgColor theme="9" tint="0.39994506668294322"/>
                </patternFill>
              </fill>
            </x14:dxf>
          </x14:cfRule>
          <x14:cfRule type="containsText" priority="4451" operator="containsText" id="{4FFE507F-8F08-4B17-8608-F10D15B40E76}">
            <xm:f>NOT(ISERROR(SEARCH($Q$12,AM602)))</xm:f>
            <xm:f>$Q$12</xm:f>
            <x14:dxf>
              <fill>
                <patternFill>
                  <bgColor rgb="FF00B050"/>
                </patternFill>
              </fill>
            </x14:dxf>
          </x14:cfRule>
          <x14:cfRule type="containsText" priority="4455" operator="containsText" id="{39E81E04-FB3C-47A8-8AEF-25AC7D38002F}">
            <xm:f>NOT(ISERROR(SEARCH($Q$12,AM602)))</xm:f>
            <xm:f>$Q$12</xm:f>
            <x14:dxf>
              <fill>
                <patternFill>
                  <bgColor theme="9" tint="0.59996337778862885"/>
                </patternFill>
              </fill>
            </x14:dxf>
          </x14:cfRule>
          <x14:cfRule type="containsText" priority="4456" operator="containsText" id="{9E0C9F42-DFF6-4575-AF26-0BBDFE426FEE}">
            <xm:f>NOT(ISERROR(SEARCH($Q$12,AM602)))</xm:f>
            <xm:f>$Q$12</xm:f>
            <x14:dxf>
              <fill>
                <patternFill>
                  <bgColor theme="9"/>
                </patternFill>
              </fill>
            </x14:dxf>
          </x14:cfRule>
          <x14:cfRule type="containsText" priority="4457" operator="containsText" id="{4CA6E62F-0EF3-4613-9AF8-C0D47AF8C8D8}">
            <xm:f>NOT(ISERROR(SEARCH($Q$12,AM602)))</xm:f>
            <xm:f>$Q$12</xm:f>
            <x14:dxf>
              <fill>
                <patternFill>
                  <bgColor rgb="FFFFFF00"/>
                </patternFill>
              </fill>
            </x14:dxf>
          </x14:cfRule>
          <x14:cfRule type="containsText" priority="4458" operator="containsText" id="{AF61EFBD-73FE-4A79-A023-9AA31683EED6}">
            <xm:f>NOT(ISERROR(SEARCH($Q$12,AM602)))</xm:f>
            <xm:f>$Q$12</xm:f>
            <x14:dxf>
              <fill>
                <patternFill>
                  <bgColor rgb="FFFFC000"/>
                </patternFill>
              </fill>
            </x14:dxf>
          </x14:cfRule>
          <x14:cfRule type="containsText" priority="4449" operator="containsText" id="{D93D41D8-A0BC-4A4B-B31B-F0BC3BEFD9C9}">
            <xm:f>NOT(ISERROR(SEARCH($Q$12,AM602)))</xm:f>
            <xm:f>$Q$12</xm:f>
            <x14:dxf>
              <fill>
                <patternFill>
                  <bgColor theme="9" tint="0.79998168889431442"/>
                </patternFill>
              </fill>
            </x14:dxf>
          </x14:cfRule>
          <x14:cfRule type="containsText" priority="4452" operator="containsText" id="{301964E9-A668-4000-A9C2-CDF2CAD8418C}">
            <xm:f>NOT(ISERROR(SEARCH($Q$12,AM602)))</xm:f>
            <xm:f>$Q$12</xm:f>
            <x14:dxf>
              <fill>
                <patternFill>
                  <bgColor rgb="FFFFFF00"/>
                </patternFill>
              </fill>
            </x14:dxf>
          </x14:cfRule>
          <x14:cfRule type="containsText" priority="4454" operator="containsText" id="{122EE8EC-8003-4A13-85B6-037B4662D62C}">
            <xm:f>NOT(ISERROR(SEARCH($Q$12,AM602)))</xm:f>
            <xm:f>$Q$12</xm:f>
            <x14:dxf>
              <fill>
                <patternFill>
                  <bgColor rgb="FFFF0000"/>
                </patternFill>
              </fill>
            </x14:dxf>
          </x14:cfRule>
          <x14:cfRule type="containsText" priority="4459" operator="containsText" id="{C521AC48-FCBA-455E-B829-3745A0A57877}">
            <xm:f>NOT(ISERROR(SEARCH($Q$12,AM602)))</xm:f>
            <xm:f>$Q$12</xm:f>
            <x14:dxf>
              <fill>
                <patternFill>
                  <bgColor rgb="FFFF0000"/>
                </patternFill>
              </fill>
            </x14:dxf>
          </x14:cfRule>
          <xm:sqref>AM602:AN602</xm:sqref>
        </x14:conditionalFormatting>
        <x14:conditionalFormatting xmlns:xm="http://schemas.microsoft.com/office/excel/2006/main">
          <x14:cfRule type="containsText" priority="4107" operator="containsText" id="{265871E4-7567-42C0-9BDB-87BC3A90250C}">
            <xm:f>NOT(ISERROR(SEARCH($Q$12,AM612)))</xm:f>
            <xm:f>$Q$12</xm:f>
            <x14:dxf>
              <fill>
                <patternFill>
                  <bgColor rgb="FFFFFF00"/>
                </patternFill>
              </fill>
            </x14:dxf>
          </x14:cfRule>
          <x14:cfRule type="containsText" priority="4106" operator="containsText" id="{BFB2E70C-5A88-493E-A36D-D2FC7D19E66B}">
            <xm:f>NOT(ISERROR(SEARCH($Q$12,AM612)))</xm:f>
            <xm:f>$Q$12</xm:f>
            <x14:dxf>
              <fill>
                <patternFill>
                  <bgColor theme="9"/>
                </patternFill>
              </fill>
            </x14:dxf>
          </x14:cfRule>
          <x14:cfRule type="containsText" priority="4100" operator="containsText" id="{FDC411DC-5D37-4070-A766-F6CD70183319}">
            <xm:f>NOT(ISERROR(SEARCH($Q$12,AM612)))</xm:f>
            <xm:f>$Q$12</xm:f>
            <x14:dxf>
              <fill>
                <patternFill>
                  <bgColor theme="9" tint="0.39994506668294322"/>
                </patternFill>
              </fill>
            </x14:dxf>
          </x14:cfRule>
          <x14:cfRule type="containsText" priority="4105" operator="containsText" id="{B1CEEE81-DD8E-4EE5-B968-E37F01F4B92F}">
            <xm:f>NOT(ISERROR(SEARCH($Q$12,AM612)))</xm:f>
            <xm:f>$Q$12</xm:f>
            <x14:dxf>
              <fill>
                <patternFill>
                  <bgColor theme="9" tint="0.59996337778862885"/>
                </patternFill>
              </fill>
            </x14:dxf>
          </x14:cfRule>
          <x14:cfRule type="containsText" priority="4104" operator="containsText" id="{822564AC-7911-43DA-91AA-E5E5B547AFEA}">
            <xm:f>NOT(ISERROR(SEARCH($Q$12,AM612)))</xm:f>
            <xm:f>$Q$12</xm:f>
            <x14:dxf>
              <fill>
                <patternFill>
                  <bgColor rgb="FFFF0000"/>
                </patternFill>
              </fill>
            </x14:dxf>
          </x14:cfRule>
          <x14:cfRule type="containsText" priority="4103" operator="containsText" id="{24EA3633-8E58-4B91-A6A2-9CE25375C6AD}">
            <xm:f>NOT(ISERROR(SEARCH($Q$12,AM612)))</xm:f>
            <xm:f>$Q$12</xm:f>
            <x14:dxf>
              <fill>
                <patternFill>
                  <bgColor rgb="FFFFC000"/>
                </patternFill>
              </fill>
            </x14:dxf>
          </x14:cfRule>
          <x14:cfRule type="containsText" priority="4102" operator="containsText" id="{79AFCB07-B777-4692-AF62-FC046EEA5088}">
            <xm:f>NOT(ISERROR(SEARCH($Q$12,AM612)))</xm:f>
            <xm:f>$Q$12</xm:f>
            <x14:dxf>
              <fill>
                <patternFill>
                  <bgColor rgb="FFFFFF00"/>
                </patternFill>
              </fill>
            </x14:dxf>
          </x14:cfRule>
          <x14:cfRule type="containsText" priority="4101" operator="containsText" id="{F47F2170-2EDF-413B-8943-76D9AB90973B}">
            <xm:f>NOT(ISERROR(SEARCH($Q$12,AM612)))</xm:f>
            <xm:f>$Q$12</xm:f>
            <x14:dxf>
              <fill>
                <patternFill>
                  <bgColor rgb="FF00B050"/>
                </patternFill>
              </fill>
            </x14:dxf>
          </x14:cfRule>
          <x14:cfRule type="containsText" priority="4099" operator="containsText" id="{763B71C2-D609-43C9-AC8E-9E0DEAA85909}">
            <xm:f>NOT(ISERROR(SEARCH($Q$12,AM612)))</xm:f>
            <xm:f>$Q$12</xm:f>
            <x14:dxf>
              <fill>
                <patternFill>
                  <bgColor theme="9" tint="0.79998168889431442"/>
                </patternFill>
              </fill>
            </x14:dxf>
          </x14:cfRule>
          <x14:cfRule type="containsText" priority="4108" operator="containsText" id="{DB62DACA-9222-472C-AE31-C4C02507B57F}">
            <xm:f>NOT(ISERROR(SEARCH($Q$12,AM612)))</xm:f>
            <xm:f>$Q$12</xm:f>
            <x14:dxf>
              <fill>
                <patternFill>
                  <bgColor rgb="FFFFC000"/>
                </patternFill>
              </fill>
            </x14:dxf>
          </x14:cfRule>
          <x14:cfRule type="containsText" priority="4109" operator="containsText" id="{7C6CD8CB-9DCA-409D-AFAD-99819C152927}">
            <xm:f>NOT(ISERROR(SEARCH($Q$12,AM612)))</xm:f>
            <xm:f>$Q$12</xm:f>
            <x14:dxf>
              <fill>
                <patternFill>
                  <bgColor rgb="FFFF0000"/>
                </patternFill>
              </fill>
            </x14:dxf>
          </x14:cfRule>
          <xm:sqref>AM612:AN612</xm:sqref>
        </x14:conditionalFormatting>
        <x14:conditionalFormatting xmlns:xm="http://schemas.microsoft.com/office/excel/2006/main">
          <x14:cfRule type="containsText" priority="3731" operator="containsText" id="{D3C19096-446A-4E64-8846-997912ACAA06}">
            <xm:f>NOT(ISERROR(SEARCH($Q$12,AM622)))</xm:f>
            <xm:f>$Q$12</xm:f>
            <x14:dxf>
              <fill>
                <patternFill>
                  <bgColor rgb="FFFFFF00"/>
                </patternFill>
              </fill>
            </x14:dxf>
          </x14:cfRule>
          <xm:sqref>AM622:AN622</xm:sqref>
        </x14:conditionalFormatting>
        <x14:conditionalFormatting xmlns:xm="http://schemas.microsoft.com/office/excel/2006/main">
          <x14:cfRule type="containsText" priority="3926" operator="containsText" id="{E787B762-8B92-4708-9FA9-E8DFEFBBE8A4}">
            <xm:f>NOT(ISERROR(SEARCH($Q$12,AM632)))</xm:f>
            <xm:f>$Q$12</xm:f>
            <x14:dxf>
              <fill>
                <patternFill>
                  <bgColor theme="9"/>
                </patternFill>
              </fill>
            </x14:dxf>
          </x14:cfRule>
          <x14:cfRule type="containsText" priority="3929" operator="containsText" id="{A301518A-B74E-4786-BB5D-58B4C28C64D2}">
            <xm:f>NOT(ISERROR(SEARCH($Q$12,AM632)))</xm:f>
            <xm:f>$Q$12</xm:f>
            <x14:dxf>
              <fill>
                <patternFill>
                  <bgColor rgb="FFFF0000"/>
                </patternFill>
              </fill>
            </x14:dxf>
          </x14:cfRule>
          <x14:cfRule type="containsText" priority="3928" operator="containsText" id="{D21ACDBA-4F0F-4E01-8F8D-8806470ED66B}">
            <xm:f>NOT(ISERROR(SEARCH($Q$12,AM632)))</xm:f>
            <xm:f>$Q$12</xm:f>
            <x14:dxf>
              <fill>
                <patternFill>
                  <bgColor rgb="FFFFC000"/>
                </patternFill>
              </fill>
            </x14:dxf>
          </x14:cfRule>
          <x14:cfRule type="containsText" priority="3925" operator="containsText" id="{0E4D4255-CFD4-4071-BF9A-D8550F03A6CC}">
            <xm:f>NOT(ISERROR(SEARCH($Q$12,AM632)))</xm:f>
            <xm:f>$Q$12</xm:f>
            <x14:dxf>
              <fill>
                <patternFill>
                  <bgColor theme="9" tint="0.59996337778862885"/>
                </patternFill>
              </fill>
            </x14:dxf>
          </x14:cfRule>
          <x14:cfRule type="containsText" priority="3919" operator="containsText" id="{3359FC73-47C5-41F5-92AA-88526E97276F}">
            <xm:f>NOT(ISERROR(SEARCH($Q$12,AM632)))</xm:f>
            <xm:f>$Q$12</xm:f>
            <x14:dxf>
              <fill>
                <patternFill>
                  <bgColor theme="9" tint="0.79998168889431442"/>
                </patternFill>
              </fill>
            </x14:dxf>
          </x14:cfRule>
          <x14:cfRule type="containsText" priority="3920" operator="containsText" id="{DD7C962D-2EBA-4F3C-A608-3CF33411644C}">
            <xm:f>NOT(ISERROR(SEARCH($Q$12,AM632)))</xm:f>
            <xm:f>$Q$12</xm:f>
            <x14:dxf>
              <fill>
                <patternFill>
                  <bgColor theme="9" tint="0.39994506668294322"/>
                </patternFill>
              </fill>
            </x14:dxf>
          </x14:cfRule>
          <x14:cfRule type="containsText" priority="3921" operator="containsText" id="{11E3D8B0-7867-499B-80FB-E0343C15DCB1}">
            <xm:f>NOT(ISERROR(SEARCH($Q$12,AM632)))</xm:f>
            <xm:f>$Q$12</xm:f>
            <x14:dxf>
              <fill>
                <patternFill>
                  <bgColor rgb="FF00B050"/>
                </patternFill>
              </fill>
            </x14:dxf>
          </x14:cfRule>
          <x14:cfRule type="containsText" priority="3922" operator="containsText" id="{D73B6CAB-4E91-4E01-89BA-9F211D07F39F}">
            <xm:f>NOT(ISERROR(SEARCH($Q$12,AM632)))</xm:f>
            <xm:f>$Q$12</xm:f>
            <x14:dxf>
              <fill>
                <patternFill>
                  <bgColor rgb="FFFFFF00"/>
                </patternFill>
              </fill>
            </x14:dxf>
          </x14:cfRule>
          <x14:cfRule type="containsText" priority="3923" operator="containsText" id="{5453032B-E0EC-488B-9F94-5133F9D4E3E5}">
            <xm:f>NOT(ISERROR(SEARCH($Q$12,AM632)))</xm:f>
            <xm:f>$Q$12</xm:f>
            <x14:dxf>
              <fill>
                <patternFill>
                  <bgColor rgb="FFFFC000"/>
                </patternFill>
              </fill>
            </x14:dxf>
          </x14:cfRule>
          <x14:cfRule type="containsText" priority="3924" operator="containsText" id="{29733FA9-4747-47D5-9B39-CDCCB900CDA6}">
            <xm:f>NOT(ISERROR(SEARCH($Q$12,AM632)))</xm:f>
            <xm:f>$Q$12</xm:f>
            <x14:dxf>
              <fill>
                <patternFill>
                  <bgColor rgb="FFFF0000"/>
                </patternFill>
              </fill>
            </x14:dxf>
          </x14:cfRule>
          <x14:cfRule type="containsText" priority="3927" operator="containsText" id="{1B1C60FD-40A4-41D0-80BD-32B2E167CA66}">
            <xm:f>NOT(ISERROR(SEARCH($Q$12,AM632)))</xm:f>
            <xm:f>$Q$12</xm:f>
            <x14:dxf>
              <fill>
                <patternFill>
                  <bgColor rgb="FFFFFF00"/>
                </patternFill>
              </fill>
            </x14:dxf>
          </x14:cfRule>
          <xm:sqref>AM632:AN632</xm:sqref>
        </x14:conditionalFormatting>
        <x14:conditionalFormatting xmlns:xm="http://schemas.microsoft.com/office/excel/2006/main">
          <x14:cfRule type="containsText" priority="3903" operator="containsText" id="{433C1746-A355-4A70-AD30-E6F5B9DB5A05}">
            <xm:f>NOT(ISERROR(SEARCH($Q$12,AM642)))</xm:f>
            <xm:f>$Q$12</xm:f>
            <x14:dxf>
              <fill>
                <patternFill>
                  <bgColor theme="9" tint="0.79998168889431442"/>
                </patternFill>
              </fill>
            </x14:dxf>
          </x14:cfRule>
          <x14:cfRule type="containsText" priority="3904" operator="containsText" id="{14493392-B9EC-4F64-8F48-B97174FF4442}">
            <xm:f>NOT(ISERROR(SEARCH($Q$12,AM642)))</xm:f>
            <xm:f>$Q$12</xm:f>
            <x14:dxf>
              <fill>
                <patternFill>
                  <bgColor theme="9" tint="0.39994506668294322"/>
                </patternFill>
              </fill>
            </x14:dxf>
          </x14:cfRule>
          <x14:cfRule type="containsText" priority="3905" operator="containsText" id="{01359926-18E1-43FB-A3B8-7240EB0CAE0D}">
            <xm:f>NOT(ISERROR(SEARCH($Q$12,AM642)))</xm:f>
            <xm:f>$Q$12</xm:f>
            <x14:dxf>
              <fill>
                <patternFill>
                  <bgColor rgb="FF00B050"/>
                </patternFill>
              </fill>
            </x14:dxf>
          </x14:cfRule>
          <x14:cfRule type="containsText" priority="3906" operator="containsText" id="{8F36BD1F-34E6-45BA-94C5-6214D404006A}">
            <xm:f>NOT(ISERROR(SEARCH($Q$12,AM642)))</xm:f>
            <xm:f>$Q$12</xm:f>
            <x14:dxf>
              <fill>
                <patternFill>
                  <bgColor rgb="FFFFFF00"/>
                </patternFill>
              </fill>
            </x14:dxf>
          </x14:cfRule>
          <x14:cfRule type="containsText" priority="3909" operator="containsText" id="{9644D983-7DF6-437D-9601-758C9B93889A}">
            <xm:f>NOT(ISERROR(SEARCH($Q$12,AM642)))</xm:f>
            <xm:f>$Q$12</xm:f>
            <x14:dxf>
              <fill>
                <patternFill>
                  <bgColor theme="9" tint="0.59996337778862885"/>
                </patternFill>
              </fill>
            </x14:dxf>
          </x14:cfRule>
          <x14:cfRule type="containsText" priority="3910" operator="containsText" id="{FCEEAD58-EEF8-4373-8640-E4A7E336E31E}">
            <xm:f>NOT(ISERROR(SEARCH($Q$12,AM642)))</xm:f>
            <xm:f>$Q$12</xm:f>
            <x14:dxf>
              <fill>
                <patternFill>
                  <bgColor theme="9"/>
                </patternFill>
              </fill>
            </x14:dxf>
          </x14:cfRule>
          <x14:cfRule type="containsText" priority="3911" operator="containsText" id="{9BE966E2-0465-4E8D-9706-FF69F9504099}">
            <xm:f>NOT(ISERROR(SEARCH($Q$12,AM642)))</xm:f>
            <xm:f>$Q$12</xm:f>
            <x14:dxf>
              <fill>
                <patternFill>
                  <bgColor rgb="FFFFFF00"/>
                </patternFill>
              </fill>
            </x14:dxf>
          </x14:cfRule>
          <x14:cfRule type="containsText" priority="3912" operator="containsText" id="{BAA875F7-AFFD-4EC4-A243-DB6D7CA080D4}">
            <xm:f>NOT(ISERROR(SEARCH($Q$12,AM642)))</xm:f>
            <xm:f>$Q$12</xm:f>
            <x14:dxf>
              <fill>
                <patternFill>
                  <bgColor rgb="FFFFC000"/>
                </patternFill>
              </fill>
            </x14:dxf>
          </x14:cfRule>
          <x14:cfRule type="containsText" priority="3908" operator="containsText" id="{8BD979CC-C5BF-4328-BE24-DD12DC01E1A2}">
            <xm:f>NOT(ISERROR(SEARCH($Q$12,AM642)))</xm:f>
            <xm:f>$Q$12</xm:f>
            <x14:dxf>
              <fill>
                <patternFill>
                  <bgColor rgb="FFFF0000"/>
                </patternFill>
              </fill>
            </x14:dxf>
          </x14:cfRule>
          <x14:cfRule type="containsText" priority="3913" operator="containsText" id="{CC52AF27-8080-46D8-B045-242F398848A9}">
            <xm:f>NOT(ISERROR(SEARCH($Q$12,AM642)))</xm:f>
            <xm:f>$Q$12</xm:f>
            <x14:dxf>
              <fill>
                <patternFill>
                  <bgColor rgb="FFFF0000"/>
                </patternFill>
              </fill>
            </x14:dxf>
          </x14:cfRule>
          <x14:cfRule type="containsText" priority="3907" operator="containsText" id="{ED081C68-366F-4121-A05E-D27689071CA5}">
            <xm:f>NOT(ISERROR(SEARCH($Q$12,AM642)))</xm:f>
            <xm:f>$Q$12</xm:f>
            <x14:dxf>
              <fill>
                <patternFill>
                  <bgColor rgb="FFFFC000"/>
                </patternFill>
              </fill>
            </x14:dxf>
          </x14:cfRule>
          <xm:sqref>AM642:AN642</xm:sqref>
        </x14:conditionalFormatting>
        <x14:conditionalFormatting xmlns:xm="http://schemas.microsoft.com/office/excel/2006/main">
          <x14:cfRule type="containsText" priority="3684" operator="containsText" id="{9272B83C-900F-4378-AA0A-35723A90F4BF}">
            <xm:f>NOT(ISERROR(SEARCH($Q$12,AM652)))</xm:f>
            <xm:f>$Q$12</xm:f>
            <x14:dxf>
              <fill>
                <patternFill>
                  <bgColor rgb="FFFF0000"/>
                </patternFill>
              </fill>
            </x14:dxf>
          </x14:cfRule>
          <x14:cfRule type="containsText" priority="3683" operator="containsText" id="{6D38AB1F-8CE0-4260-9F6F-6EAAC2495151}">
            <xm:f>NOT(ISERROR(SEARCH($Q$12,AM652)))</xm:f>
            <xm:f>$Q$12</xm:f>
            <x14:dxf>
              <fill>
                <patternFill>
                  <bgColor rgb="FFFFC000"/>
                </patternFill>
              </fill>
            </x14:dxf>
          </x14:cfRule>
          <x14:cfRule type="containsText" priority="3682" operator="containsText" id="{D4539B8D-E960-405F-82F2-1E01149293BE}">
            <xm:f>NOT(ISERROR(SEARCH($Q$12,AM652)))</xm:f>
            <xm:f>$Q$12</xm:f>
            <x14:dxf>
              <fill>
                <patternFill>
                  <bgColor rgb="FFFFFF00"/>
                </patternFill>
              </fill>
            </x14:dxf>
          </x14:cfRule>
          <x14:cfRule type="containsText" priority="3680" operator="containsText" id="{147D69DB-1EA6-4013-B5A9-A8B9F2A7FC15}">
            <xm:f>NOT(ISERROR(SEARCH($Q$12,AM652)))</xm:f>
            <xm:f>$Q$12</xm:f>
            <x14:dxf>
              <fill>
                <patternFill>
                  <bgColor theme="9" tint="0.39994506668294322"/>
                </patternFill>
              </fill>
            </x14:dxf>
          </x14:cfRule>
          <x14:cfRule type="containsText" priority="3679" operator="containsText" id="{2E43A2D2-1522-4098-8D5D-5580AEAFB815}">
            <xm:f>NOT(ISERROR(SEARCH($Q$12,AM652)))</xm:f>
            <xm:f>$Q$12</xm:f>
            <x14:dxf>
              <fill>
                <patternFill>
                  <bgColor theme="9" tint="0.79998168889431442"/>
                </patternFill>
              </fill>
            </x14:dxf>
          </x14:cfRule>
          <x14:cfRule type="containsText" priority="3685" operator="containsText" id="{E6E8F7C3-0C08-4532-83C5-695C975F6EF0}">
            <xm:f>NOT(ISERROR(SEARCH($Q$12,AM652)))</xm:f>
            <xm:f>$Q$12</xm:f>
            <x14:dxf>
              <fill>
                <patternFill>
                  <bgColor theme="9" tint="0.59996337778862885"/>
                </patternFill>
              </fill>
            </x14:dxf>
          </x14:cfRule>
          <x14:cfRule type="containsText" priority="3681" operator="containsText" id="{D78F5D2B-E279-46E4-A655-F118F09CAAD4}">
            <xm:f>NOT(ISERROR(SEARCH($Q$12,AM652)))</xm:f>
            <xm:f>$Q$12</xm:f>
            <x14:dxf>
              <fill>
                <patternFill>
                  <bgColor rgb="FF00B050"/>
                </patternFill>
              </fill>
            </x14:dxf>
          </x14:cfRule>
          <x14:cfRule type="containsText" priority="3689" operator="containsText" id="{43D8FCBE-0CBD-4602-98D2-8AE00BF965F1}">
            <xm:f>NOT(ISERROR(SEARCH($Q$12,AM652)))</xm:f>
            <xm:f>$Q$12</xm:f>
            <x14:dxf>
              <fill>
                <patternFill>
                  <bgColor rgb="FFFF0000"/>
                </patternFill>
              </fill>
            </x14:dxf>
          </x14:cfRule>
          <x14:cfRule type="containsText" priority="3688" operator="containsText" id="{390B5273-7953-494C-88A8-F786DFD32B73}">
            <xm:f>NOT(ISERROR(SEARCH($Q$12,AM652)))</xm:f>
            <xm:f>$Q$12</xm:f>
            <x14:dxf>
              <fill>
                <patternFill>
                  <bgColor rgb="FFFFC000"/>
                </patternFill>
              </fill>
            </x14:dxf>
          </x14:cfRule>
          <x14:cfRule type="containsText" priority="3687" operator="containsText" id="{B0DBF5D3-FF6C-468A-9343-CBD885178C32}">
            <xm:f>NOT(ISERROR(SEARCH($Q$12,AM652)))</xm:f>
            <xm:f>$Q$12</xm:f>
            <x14:dxf>
              <fill>
                <patternFill>
                  <bgColor rgb="FFFFFF00"/>
                </patternFill>
              </fill>
            </x14:dxf>
          </x14:cfRule>
          <x14:cfRule type="containsText" priority="3686" operator="containsText" id="{5BDF29EC-D795-4EFB-B34E-814D319E29FC}">
            <xm:f>NOT(ISERROR(SEARCH($Q$12,AM652)))</xm:f>
            <xm:f>$Q$12</xm:f>
            <x14:dxf>
              <fill>
                <patternFill>
                  <bgColor theme="9"/>
                </patternFill>
              </fill>
            </x14:dxf>
          </x14:cfRule>
          <xm:sqref>AM652:AN652</xm:sqref>
        </x14:conditionalFormatting>
        <x14:conditionalFormatting xmlns:xm="http://schemas.microsoft.com/office/excel/2006/main">
          <x14:cfRule type="containsText" priority="3568" operator="containsText" id="{AD7A053D-B0D1-4105-8F01-B441EB6CDE53}">
            <xm:f>NOT(ISERROR(SEARCH($Q$12,AM662)))</xm:f>
            <xm:f>$Q$12</xm:f>
            <x14:dxf>
              <fill>
                <patternFill>
                  <bgColor rgb="FFFF0000"/>
                </patternFill>
              </fill>
            </x14:dxf>
          </x14:cfRule>
          <x14:cfRule type="containsText" priority="3567" operator="containsText" id="{8AF1C765-5890-44BE-BD02-B2ADCAF75A3B}">
            <xm:f>NOT(ISERROR(SEARCH($Q$12,AM662)))</xm:f>
            <xm:f>$Q$12</xm:f>
            <x14:dxf>
              <fill>
                <patternFill>
                  <bgColor rgb="FFFFC000"/>
                </patternFill>
              </fill>
            </x14:dxf>
          </x14:cfRule>
          <x14:cfRule type="containsText" priority="3566" operator="containsText" id="{7543A8C7-CB62-4929-BF0B-053939159C4A}">
            <xm:f>NOT(ISERROR(SEARCH($Q$12,AM662)))</xm:f>
            <xm:f>$Q$12</xm:f>
            <x14:dxf>
              <fill>
                <patternFill>
                  <bgColor rgb="FFFFFF00"/>
                </patternFill>
              </fill>
            </x14:dxf>
          </x14:cfRule>
          <x14:cfRule type="containsText" priority="3565" operator="containsText" id="{8CF82FF1-2A06-41FC-8F64-6B852A7D9FBF}">
            <xm:f>NOT(ISERROR(SEARCH($Q$12,AM662)))</xm:f>
            <xm:f>$Q$12</xm:f>
            <x14:dxf>
              <fill>
                <patternFill>
                  <bgColor rgb="FF00B050"/>
                </patternFill>
              </fill>
            </x14:dxf>
          </x14:cfRule>
          <x14:cfRule type="containsText" priority="3563" operator="containsText" id="{496DEB87-1A49-46C2-B801-1ECA0F4003CA}">
            <xm:f>NOT(ISERROR(SEARCH($Q$12,AM662)))</xm:f>
            <xm:f>$Q$12</xm:f>
            <x14:dxf>
              <fill>
                <patternFill>
                  <bgColor theme="9" tint="0.79998168889431442"/>
                </patternFill>
              </fill>
            </x14:dxf>
          </x14:cfRule>
          <x14:cfRule type="containsText" priority="3572" operator="containsText" id="{94265133-2CD9-4EBE-973C-1CB1F0701C68}">
            <xm:f>NOT(ISERROR(SEARCH($Q$12,AM662)))</xm:f>
            <xm:f>$Q$12</xm:f>
            <x14:dxf>
              <fill>
                <patternFill>
                  <bgColor rgb="FFFFC000"/>
                </patternFill>
              </fill>
            </x14:dxf>
          </x14:cfRule>
          <x14:cfRule type="containsText" priority="3564" operator="containsText" id="{1B3D2185-2D17-410B-B818-232B8F1B682C}">
            <xm:f>NOT(ISERROR(SEARCH($Q$12,AM662)))</xm:f>
            <xm:f>$Q$12</xm:f>
            <x14:dxf>
              <fill>
                <patternFill>
                  <bgColor theme="9" tint="0.39994506668294322"/>
                </patternFill>
              </fill>
            </x14:dxf>
          </x14:cfRule>
          <x14:cfRule type="containsText" priority="3571" operator="containsText" id="{C269731B-9B01-452C-A7D1-01FCA91D52F1}">
            <xm:f>NOT(ISERROR(SEARCH($Q$12,AM662)))</xm:f>
            <xm:f>$Q$12</xm:f>
            <x14:dxf>
              <fill>
                <patternFill>
                  <bgColor rgb="FFFFFF00"/>
                </patternFill>
              </fill>
            </x14:dxf>
          </x14:cfRule>
          <x14:cfRule type="containsText" priority="3570" operator="containsText" id="{DC3E4AF6-BF48-49D6-A8D7-ED2078969607}">
            <xm:f>NOT(ISERROR(SEARCH($Q$12,AM662)))</xm:f>
            <xm:f>$Q$12</xm:f>
            <x14:dxf>
              <fill>
                <patternFill>
                  <bgColor theme="9"/>
                </patternFill>
              </fill>
            </x14:dxf>
          </x14:cfRule>
          <x14:cfRule type="containsText" priority="3573" operator="containsText" id="{DB6A82F3-83CA-4DA7-BD0E-5AA7583F7CB2}">
            <xm:f>NOT(ISERROR(SEARCH($Q$12,AM662)))</xm:f>
            <xm:f>$Q$12</xm:f>
            <x14:dxf>
              <fill>
                <patternFill>
                  <bgColor rgb="FFFF0000"/>
                </patternFill>
              </fill>
            </x14:dxf>
          </x14:cfRule>
          <x14:cfRule type="containsText" priority="3569" operator="containsText" id="{8EB248F4-806D-4C10-B9AF-F8E3A1663C1F}">
            <xm:f>NOT(ISERROR(SEARCH($Q$12,AM662)))</xm:f>
            <xm:f>$Q$12</xm:f>
            <x14:dxf>
              <fill>
                <patternFill>
                  <bgColor theme="9" tint="0.59996337778862885"/>
                </patternFill>
              </fill>
            </x14:dxf>
          </x14:cfRule>
          <xm:sqref>AM662:AN662</xm:sqref>
        </x14:conditionalFormatting>
        <x14:conditionalFormatting xmlns:xm="http://schemas.microsoft.com/office/excel/2006/main">
          <x14:cfRule type="containsText" priority="3554" operator="containsText" id="{6705E1C8-14A4-4BE4-9B41-33CF65FD7AFE}">
            <xm:f>NOT(ISERROR(SEARCH($Q$12,AM672)))</xm:f>
            <xm:f>$Q$12</xm:f>
            <x14:dxf>
              <fill>
                <patternFill>
                  <bgColor theme="9"/>
                </patternFill>
              </fill>
            </x14:dxf>
          </x14:cfRule>
          <x14:cfRule type="containsText" priority="3557" operator="containsText" id="{B0EB8A57-D7EA-47ED-8A2F-0AA4E574857A}">
            <xm:f>NOT(ISERROR(SEARCH($Q$12,AM672)))</xm:f>
            <xm:f>$Q$12</xm:f>
            <x14:dxf>
              <fill>
                <patternFill>
                  <bgColor rgb="FFFF0000"/>
                </patternFill>
              </fill>
            </x14:dxf>
          </x14:cfRule>
          <x14:cfRule type="containsText" priority="3556" operator="containsText" id="{8E400842-D559-4A59-A000-75E6BBE4C0E8}">
            <xm:f>NOT(ISERROR(SEARCH($Q$12,AM672)))</xm:f>
            <xm:f>$Q$12</xm:f>
            <x14:dxf>
              <fill>
                <patternFill>
                  <bgColor rgb="FFFFC000"/>
                </patternFill>
              </fill>
            </x14:dxf>
          </x14:cfRule>
          <x14:cfRule type="containsText" priority="3555" operator="containsText" id="{8F6FFA94-653D-4D40-8C71-6EDBFEA8A8E9}">
            <xm:f>NOT(ISERROR(SEARCH($Q$12,AM672)))</xm:f>
            <xm:f>$Q$12</xm:f>
            <x14:dxf>
              <fill>
                <patternFill>
                  <bgColor rgb="FFFFFF00"/>
                </patternFill>
              </fill>
            </x14:dxf>
          </x14:cfRule>
          <x14:cfRule type="containsText" priority="3553" operator="containsText" id="{DCAB1752-4B16-4945-ABF5-76A2AEEC8289}">
            <xm:f>NOT(ISERROR(SEARCH($Q$12,AM672)))</xm:f>
            <xm:f>$Q$12</xm:f>
            <x14:dxf>
              <fill>
                <patternFill>
                  <bgColor theme="9" tint="0.59996337778862885"/>
                </patternFill>
              </fill>
            </x14:dxf>
          </x14:cfRule>
          <x14:cfRule type="containsText" priority="3551" operator="containsText" id="{DD3CFE7A-CEFD-4724-98C4-40B3A47B2E0E}">
            <xm:f>NOT(ISERROR(SEARCH($Q$12,AM672)))</xm:f>
            <xm:f>$Q$12</xm:f>
            <x14:dxf>
              <fill>
                <patternFill>
                  <bgColor rgb="FFFFC000"/>
                </patternFill>
              </fill>
            </x14:dxf>
          </x14:cfRule>
          <x14:cfRule type="containsText" priority="3550" operator="containsText" id="{75384F57-4B59-483E-80CB-DFE5A55F72CD}">
            <xm:f>NOT(ISERROR(SEARCH($Q$12,AM672)))</xm:f>
            <xm:f>$Q$12</xm:f>
            <x14:dxf>
              <fill>
                <patternFill>
                  <bgColor rgb="FFFFFF00"/>
                </patternFill>
              </fill>
            </x14:dxf>
          </x14:cfRule>
          <x14:cfRule type="containsText" priority="3549" operator="containsText" id="{CE7C1252-F792-43A8-BF0A-43A11FBCFB9C}">
            <xm:f>NOT(ISERROR(SEARCH($Q$12,AM672)))</xm:f>
            <xm:f>$Q$12</xm:f>
            <x14:dxf>
              <fill>
                <patternFill>
                  <bgColor rgb="FF00B050"/>
                </patternFill>
              </fill>
            </x14:dxf>
          </x14:cfRule>
          <x14:cfRule type="containsText" priority="3548" operator="containsText" id="{B17045E2-8026-4A97-91C9-F58D5E258347}">
            <xm:f>NOT(ISERROR(SEARCH($Q$12,AM672)))</xm:f>
            <xm:f>$Q$12</xm:f>
            <x14:dxf>
              <fill>
                <patternFill>
                  <bgColor theme="9" tint="0.39994506668294322"/>
                </patternFill>
              </fill>
            </x14:dxf>
          </x14:cfRule>
          <x14:cfRule type="containsText" priority="3547" operator="containsText" id="{D773C5E8-FE43-471B-9839-E2A8C39C8294}">
            <xm:f>NOT(ISERROR(SEARCH($Q$12,AM672)))</xm:f>
            <xm:f>$Q$12</xm:f>
            <x14:dxf>
              <fill>
                <patternFill>
                  <bgColor theme="9" tint="0.79998168889431442"/>
                </patternFill>
              </fill>
            </x14:dxf>
          </x14:cfRule>
          <x14:cfRule type="containsText" priority="3552" operator="containsText" id="{E04D4330-3237-44FC-B376-AF9C9D2FD14B}">
            <xm:f>NOT(ISERROR(SEARCH($Q$12,AM672)))</xm:f>
            <xm:f>$Q$12</xm:f>
            <x14:dxf>
              <fill>
                <patternFill>
                  <bgColor rgb="FFFF0000"/>
                </patternFill>
              </fill>
            </x14:dxf>
          </x14:cfRule>
          <xm:sqref>AM672:AN672</xm:sqref>
        </x14:conditionalFormatting>
        <x14:conditionalFormatting xmlns:xm="http://schemas.microsoft.com/office/excel/2006/main">
          <x14:cfRule type="containsText" priority="3540" operator="containsText" id="{866C3C23-5E1C-4D12-9EF8-0A48E788FDC9}">
            <xm:f>NOT(ISERROR(SEARCH($Q$12,AM682)))</xm:f>
            <xm:f>$Q$12</xm:f>
            <x14:dxf>
              <fill>
                <patternFill>
                  <bgColor rgb="FFFFC000"/>
                </patternFill>
              </fill>
            </x14:dxf>
          </x14:cfRule>
          <x14:cfRule type="containsText" priority="3541" operator="containsText" id="{B399302B-5620-4A1A-804C-BE57EE6C2252}">
            <xm:f>NOT(ISERROR(SEARCH($Q$12,AM682)))</xm:f>
            <xm:f>$Q$12</xm:f>
            <x14:dxf>
              <fill>
                <patternFill>
                  <bgColor rgb="FFFF0000"/>
                </patternFill>
              </fill>
            </x14:dxf>
          </x14:cfRule>
          <x14:cfRule type="containsText" priority="3532" operator="containsText" id="{C13CE1E9-FF44-484C-B826-A412E402435F}">
            <xm:f>NOT(ISERROR(SEARCH($Q$12,AM682)))</xm:f>
            <xm:f>$Q$12</xm:f>
            <x14:dxf>
              <fill>
                <patternFill>
                  <bgColor theme="9" tint="0.39994506668294322"/>
                </patternFill>
              </fill>
            </x14:dxf>
          </x14:cfRule>
          <x14:cfRule type="containsText" priority="3539" operator="containsText" id="{12802654-F1DF-42C3-811F-5DEFA26B4A4B}">
            <xm:f>NOT(ISERROR(SEARCH($Q$12,AM682)))</xm:f>
            <xm:f>$Q$12</xm:f>
            <x14:dxf>
              <fill>
                <patternFill>
                  <bgColor rgb="FFFFFF00"/>
                </patternFill>
              </fill>
            </x14:dxf>
          </x14:cfRule>
          <x14:cfRule type="containsText" priority="3538" operator="containsText" id="{0E9AD287-6854-437A-B8B9-1899DA5F7012}">
            <xm:f>NOT(ISERROR(SEARCH($Q$12,AM682)))</xm:f>
            <xm:f>$Q$12</xm:f>
            <x14:dxf>
              <fill>
                <patternFill>
                  <bgColor theme="9"/>
                </patternFill>
              </fill>
            </x14:dxf>
          </x14:cfRule>
          <x14:cfRule type="containsText" priority="3537" operator="containsText" id="{F98DE4D4-2402-4E20-91A7-84BA13E2A196}">
            <xm:f>NOT(ISERROR(SEARCH($Q$12,AM682)))</xm:f>
            <xm:f>$Q$12</xm:f>
            <x14:dxf>
              <fill>
                <patternFill>
                  <bgColor theme="9" tint="0.59996337778862885"/>
                </patternFill>
              </fill>
            </x14:dxf>
          </x14:cfRule>
          <x14:cfRule type="containsText" priority="3536" operator="containsText" id="{7AE89308-8321-443D-8984-8F15CD120ECB}">
            <xm:f>NOT(ISERROR(SEARCH($Q$12,AM682)))</xm:f>
            <xm:f>$Q$12</xm:f>
            <x14:dxf>
              <fill>
                <patternFill>
                  <bgColor rgb="FFFF0000"/>
                </patternFill>
              </fill>
            </x14:dxf>
          </x14:cfRule>
          <x14:cfRule type="containsText" priority="3531" operator="containsText" id="{44D2C1DD-487A-435A-A862-E13F79CAFC52}">
            <xm:f>NOT(ISERROR(SEARCH($Q$12,AM682)))</xm:f>
            <xm:f>$Q$12</xm:f>
            <x14:dxf>
              <fill>
                <patternFill>
                  <bgColor theme="9" tint="0.79998168889431442"/>
                </patternFill>
              </fill>
            </x14:dxf>
          </x14:cfRule>
          <x14:cfRule type="containsText" priority="3535" operator="containsText" id="{4381CFF7-9DDE-4DC1-B00C-3C1ED0CA2572}">
            <xm:f>NOT(ISERROR(SEARCH($Q$12,AM682)))</xm:f>
            <xm:f>$Q$12</xm:f>
            <x14:dxf>
              <fill>
                <patternFill>
                  <bgColor rgb="FFFFC000"/>
                </patternFill>
              </fill>
            </x14:dxf>
          </x14:cfRule>
          <x14:cfRule type="containsText" priority="3534" operator="containsText" id="{716418CC-792F-4110-8983-D770EECF9660}">
            <xm:f>NOT(ISERROR(SEARCH($Q$12,AM682)))</xm:f>
            <xm:f>$Q$12</xm:f>
            <x14:dxf>
              <fill>
                <patternFill>
                  <bgColor rgb="FFFFFF00"/>
                </patternFill>
              </fill>
            </x14:dxf>
          </x14:cfRule>
          <x14:cfRule type="containsText" priority="3533" operator="containsText" id="{AE07CE0D-C704-4388-883A-326815BAC092}">
            <xm:f>NOT(ISERROR(SEARCH($Q$12,AM682)))</xm:f>
            <xm:f>$Q$12</xm:f>
            <x14:dxf>
              <fill>
                <patternFill>
                  <bgColor rgb="FF00B050"/>
                </patternFill>
              </fill>
            </x14:dxf>
          </x14:cfRule>
          <xm:sqref>AM682:AN682</xm:sqref>
        </x14:conditionalFormatting>
        <x14:conditionalFormatting xmlns:xm="http://schemas.microsoft.com/office/excel/2006/main">
          <x14:cfRule type="containsText" priority="3515" operator="containsText" id="{9564D0E1-C6BD-47F5-922D-4A758C715147}">
            <xm:f>NOT(ISERROR(SEARCH($Q$12,AM692)))</xm:f>
            <xm:f>$Q$12</xm:f>
            <x14:dxf>
              <fill>
                <patternFill>
                  <bgColor theme="9" tint="0.79998168889431442"/>
                </patternFill>
              </fill>
            </x14:dxf>
          </x14:cfRule>
          <x14:cfRule type="containsText" priority="3517" operator="containsText" id="{087531F2-AD4B-4478-9A8E-6139BAE9DBEB}">
            <xm:f>NOT(ISERROR(SEARCH($Q$12,AM692)))</xm:f>
            <xm:f>$Q$12</xm:f>
            <x14:dxf>
              <fill>
                <patternFill>
                  <bgColor rgb="FF00B050"/>
                </patternFill>
              </fill>
            </x14:dxf>
          </x14:cfRule>
          <x14:cfRule type="containsText" priority="3518" operator="containsText" id="{CFE4EF75-7932-4A2D-AB34-69A4C6DB942C}">
            <xm:f>NOT(ISERROR(SEARCH($Q$12,AM692)))</xm:f>
            <xm:f>$Q$12</xm:f>
            <x14:dxf>
              <fill>
                <patternFill>
                  <bgColor rgb="FFFFFF00"/>
                </patternFill>
              </fill>
            </x14:dxf>
          </x14:cfRule>
          <x14:cfRule type="containsText" priority="3519" operator="containsText" id="{3D865773-6633-4DDE-A207-FD5855D4EAA3}">
            <xm:f>NOT(ISERROR(SEARCH($Q$12,AM692)))</xm:f>
            <xm:f>$Q$12</xm:f>
            <x14:dxf>
              <fill>
                <patternFill>
                  <bgColor rgb="FFFFC000"/>
                </patternFill>
              </fill>
            </x14:dxf>
          </x14:cfRule>
          <x14:cfRule type="containsText" priority="3520" operator="containsText" id="{B5AC0BB4-0F90-45DB-A033-14322FC3C3D2}">
            <xm:f>NOT(ISERROR(SEARCH($Q$12,AM692)))</xm:f>
            <xm:f>$Q$12</xm:f>
            <x14:dxf>
              <fill>
                <patternFill>
                  <bgColor rgb="FFFF0000"/>
                </patternFill>
              </fill>
            </x14:dxf>
          </x14:cfRule>
          <x14:cfRule type="containsText" priority="3521" operator="containsText" id="{3669211D-2A8B-4EF3-9413-C2CB0C275F23}">
            <xm:f>NOT(ISERROR(SEARCH($Q$12,AM692)))</xm:f>
            <xm:f>$Q$12</xm:f>
            <x14:dxf>
              <fill>
                <patternFill>
                  <bgColor theme="9" tint="0.59996337778862885"/>
                </patternFill>
              </fill>
            </x14:dxf>
          </x14:cfRule>
          <x14:cfRule type="containsText" priority="3522" operator="containsText" id="{4C1377DD-563D-494B-96AC-7E3C9FDB9D13}">
            <xm:f>NOT(ISERROR(SEARCH($Q$12,AM692)))</xm:f>
            <xm:f>$Q$12</xm:f>
            <x14:dxf>
              <fill>
                <patternFill>
                  <bgColor theme="9"/>
                </patternFill>
              </fill>
            </x14:dxf>
          </x14:cfRule>
          <x14:cfRule type="containsText" priority="3523" operator="containsText" id="{A5FA17A9-1813-4A71-8B29-E4E35124CF8B}">
            <xm:f>NOT(ISERROR(SEARCH($Q$12,AM692)))</xm:f>
            <xm:f>$Q$12</xm:f>
            <x14:dxf>
              <fill>
                <patternFill>
                  <bgColor rgb="FFFFFF00"/>
                </patternFill>
              </fill>
            </x14:dxf>
          </x14:cfRule>
          <x14:cfRule type="containsText" priority="3524" operator="containsText" id="{70A27233-F68A-49C7-AD5E-F72D0954AB90}">
            <xm:f>NOT(ISERROR(SEARCH($Q$12,AM692)))</xm:f>
            <xm:f>$Q$12</xm:f>
            <x14:dxf>
              <fill>
                <patternFill>
                  <bgColor rgb="FFFFC000"/>
                </patternFill>
              </fill>
            </x14:dxf>
          </x14:cfRule>
          <x14:cfRule type="containsText" priority="3525" operator="containsText" id="{41170113-005E-4459-A1B7-B04258FEE018}">
            <xm:f>NOT(ISERROR(SEARCH($Q$12,AM692)))</xm:f>
            <xm:f>$Q$12</xm:f>
            <x14:dxf>
              <fill>
                <patternFill>
                  <bgColor rgb="FFFF0000"/>
                </patternFill>
              </fill>
            </x14:dxf>
          </x14:cfRule>
          <x14:cfRule type="containsText" priority="3516" operator="containsText" id="{5EC4582A-6208-4464-91FB-DD219902BBFF}">
            <xm:f>NOT(ISERROR(SEARCH($Q$12,AM692)))</xm:f>
            <xm:f>$Q$12</xm:f>
            <x14:dxf>
              <fill>
                <patternFill>
                  <bgColor theme="9" tint="0.39994506668294322"/>
                </patternFill>
              </fill>
            </x14:dxf>
          </x14:cfRule>
          <xm:sqref>AM692:AN692</xm:sqref>
        </x14:conditionalFormatting>
        <x14:conditionalFormatting xmlns:xm="http://schemas.microsoft.com/office/excel/2006/main">
          <x14:cfRule type="containsText" priority="3500" operator="containsText" id="{EF575A6E-3093-406D-98E8-F1D0B20B8E80}">
            <xm:f>NOT(ISERROR(SEARCH($Q$12,AM702)))</xm:f>
            <xm:f>$Q$12</xm:f>
            <x14:dxf>
              <fill>
                <patternFill>
                  <bgColor theme="9" tint="0.39994506668294322"/>
                </patternFill>
              </fill>
            </x14:dxf>
          </x14:cfRule>
          <x14:cfRule type="containsText" priority="3508" operator="containsText" id="{7378395E-E68C-4106-B0D2-B86F8F0FD22D}">
            <xm:f>NOT(ISERROR(SEARCH($Q$12,AM702)))</xm:f>
            <xm:f>$Q$12</xm:f>
            <x14:dxf>
              <fill>
                <patternFill>
                  <bgColor rgb="FFFFC000"/>
                </patternFill>
              </fill>
            </x14:dxf>
          </x14:cfRule>
          <x14:cfRule type="containsText" priority="3499" operator="containsText" id="{1B0E259B-395D-48C0-A91D-4D16233144A7}">
            <xm:f>NOT(ISERROR(SEARCH($Q$12,AM702)))</xm:f>
            <xm:f>$Q$12</xm:f>
            <x14:dxf>
              <fill>
                <patternFill>
                  <bgColor theme="9" tint="0.79998168889431442"/>
                </patternFill>
              </fill>
            </x14:dxf>
          </x14:cfRule>
          <x14:cfRule type="containsText" priority="3501" operator="containsText" id="{DE18FA6A-B6AF-4C7D-8CE5-1D7EA869736D}">
            <xm:f>NOT(ISERROR(SEARCH($Q$12,AM702)))</xm:f>
            <xm:f>$Q$12</xm:f>
            <x14:dxf>
              <fill>
                <patternFill>
                  <bgColor rgb="FF00B050"/>
                </patternFill>
              </fill>
            </x14:dxf>
          </x14:cfRule>
          <x14:cfRule type="containsText" priority="3502" operator="containsText" id="{59E9FE05-E9F5-4784-B1D2-6C95DE4D871E}">
            <xm:f>NOT(ISERROR(SEARCH($Q$12,AM702)))</xm:f>
            <xm:f>$Q$12</xm:f>
            <x14:dxf>
              <fill>
                <patternFill>
                  <bgColor rgb="FFFFFF00"/>
                </patternFill>
              </fill>
            </x14:dxf>
          </x14:cfRule>
          <x14:cfRule type="containsText" priority="3503" operator="containsText" id="{2679DCCA-31E3-4ECD-9820-9837CFFF0C42}">
            <xm:f>NOT(ISERROR(SEARCH($Q$12,AM702)))</xm:f>
            <xm:f>$Q$12</xm:f>
            <x14:dxf>
              <fill>
                <patternFill>
                  <bgColor rgb="FFFFC000"/>
                </patternFill>
              </fill>
            </x14:dxf>
          </x14:cfRule>
          <x14:cfRule type="containsText" priority="3504" operator="containsText" id="{F804630B-AF78-4D35-AB68-95FC0A5C6A6B}">
            <xm:f>NOT(ISERROR(SEARCH($Q$12,AM702)))</xm:f>
            <xm:f>$Q$12</xm:f>
            <x14:dxf>
              <fill>
                <patternFill>
                  <bgColor rgb="FFFF0000"/>
                </patternFill>
              </fill>
            </x14:dxf>
          </x14:cfRule>
          <x14:cfRule type="containsText" priority="3505" operator="containsText" id="{CE3BAAF4-320D-460E-89AB-3F665D0BAD30}">
            <xm:f>NOT(ISERROR(SEARCH($Q$12,AM702)))</xm:f>
            <xm:f>$Q$12</xm:f>
            <x14:dxf>
              <fill>
                <patternFill>
                  <bgColor theme="9" tint="0.59996337778862885"/>
                </patternFill>
              </fill>
            </x14:dxf>
          </x14:cfRule>
          <x14:cfRule type="containsText" priority="3506" operator="containsText" id="{E3EE14C5-A0A0-44AF-B896-32C3DBEEA400}">
            <xm:f>NOT(ISERROR(SEARCH($Q$12,AM702)))</xm:f>
            <xm:f>$Q$12</xm:f>
            <x14:dxf>
              <fill>
                <patternFill>
                  <bgColor theme="9"/>
                </patternFill>
              </fill>
            </x14:dxf>
          </x14:cfRule>
          <x14:cfRule type="containsText" priority="3507" operator="containsText" id="{76AB655D-200E-4F4B-B3A1-C75ACAAFD877}">
            <xm:f>NOT(ISERROR(SEARCH($Q$12,AM702)))</xm:f>
            <xm:f>$Q$12</xm:f>
            <x14:dxf>
              <fill>
                <patternFill>
                  <bgColor rgb="FFFFFF00"/>
                </patternFill>
              </fill>
            </x14:dxf>
          </x14:cfRule>
          <x14:cfRule type="containsText" priority="3509" operator="containsText" id="{6C06818E-511E-429B-8530-E1EFBE430412}">
            <xm:f>NOT(ISERROR(SEARCH($Q$12,AM702)))</xm:f>
            <xm:f>$Q$12</xm:f>
            <x14:dxf>
              <fill>
                <patternFill>
                  <bgColor rgb="FFFF0000"/>
                </patternFill>
              </fill>
            </x14:dxf>
          </x14:cfRule>
          <xm:sqref>AM702:AN702</xm:sqref>
        </x14:conditionalFormatting>
        <x14:conditionalFormatting xmlns:xm="http://schemas.microsoft.com/office/excel/2006/main">
          <x14:cfRule type="containsText" priority="3488" operator="containsText" id="{88101E69-343B-4398-A18F-E8C89A7086E1}">
            <xm:f>NOT(ISERROR(SEARCH($Q$12,AM712)))</xm:f>
            <xm:f>$Q$12</xm:f>
            <x14:dxf>
              <fill>
                <patternFill>
                  <bgColor rgb="FFFF0000"/>
                </patternFill>
              </fill>
            </x14:dxf>
          </x14:cfRule>
          <x14:cfRule type="containsText" priority="3487" operator="containsText" id="{207CC5E0-ADC7-4CE0-AF09-941BBDE8CFE6}">
            <xm:f>NOT(ISERROR(SEARCH($Q$12,AM712)))</xm:f>
            <xm:f>$Q$12</xm:f>
            <x14:dxf>
              <fill>
                <patternFill>
                  <bgColor rgb="FFFFC000"/>
                </patternFill>
              </fill>
            </x14:dxf>
          </x14:cfRule>
          <x14:cfRule type="containsText" priority="3493" operator="containsText" id="{64D38AC7-48F2-45DD-ADD7-3CE3524113AC}">
            <xm:f>NOT(ISERROR(SEARCH($Q$12,AM712)))</xm:f>
            <xm:f>$Q$12</xm:f>
            <x14:dxf>
              <fill>
                <patternFill>
                  <bgColor rgb="FFFF0000"/>
                </patternFill>
              </fill>
            </x14:dxf>
          </x14:cfRule>
          <x14:cfRule type="containsText" priority="3492" operator="containsText" id="{707643CC-77E8-4FDA-A105-909472278A38}">
            <xm:f>NOT(ISERROR(SEARCH($Q$12,AM712)))</xm:f>
            <xm:f>$Q$12</xm:f>
            <x14:dxf>
              <fill>
                <patternFill>
                  <bgColor rgb="FFFFC000"/>
                </patternFill>
              </fill>
            </x14:dxf>
          </x14:cfRule>
          <x14:cfRule type="containsText" priority="3483" operator="containsText" id="{57ADB9F5-D12A-49E0-940D-55A56EFA747B}">
            <xm:f>NOT(ISERROR(SEARCH($Q$12,AM712)))</xm:f>
            <xm:f>$Q$12</xm:f>
            <x14:dxf>
              <fill>
                <patternFill>
                  <bgColor theme="9" tint="0.79998168889431442"/>
                </patternFill>
              </fill>
            </x14:dxf>
          </x14:cfRule>
          <x14:cfRule type="containsText" priority="3484" operator="containsText" id="{25195B20-A5E6-43A6-910B-13984FC426C4}">
            <xm:f>NOT(ISERROR(SEARCH($Q$12,AM712)))</xm:f>
            <xm:f>$Q$12</xm:f>
            <x14:dxf>
              <fill>
                <patternFill>
                  <bgColor theme="9" tint="0.39994506668294322"/>
                </patternFill>
              </fill>
            </x14:dxf>
          </x14:cfRule>
          <x14:cfRule type="containsText" priority="3485" operator="containsText" id="{00569758-D5D1-4615-ACC8-1D229E2BA4ED}">
            <xm:f>NOT(ISERROR(SEARCH($Q$12,AM712)))</xm:f>
            <xm:f>$Q$12</xm:f>
            <x14:dxf>
              <fill>
                <patternFill>
                  <bgColor rgb="FF00B050"/>
                </patternFill>
              </fill>
            </x14:dxf>
          </x14:cfRule>
          <x14:cfRule type="containsText" priority="3489" operator="containsText" id="{16EB9295-7714-42C8-AEC4-455956B22A2E}">
            <xm:f>NOT(ISERROR(SEARCH($Q$12,AM712)))</xm:f>
            <xm:f>$Q$12</xm:f>
            <x14:dxf>
              <fill>
                <patternFill>
                  <bgColor theme="9" tint="0.59996337778862885"/>
                </patternFill>
              </fill>
            </x14:dxf>
          </x14:cfRule>
          <x14:cfRule type="containsText" priority="3490" operator="containsText" id="{C3D526A6-E55A-42FB-B8E4-863D10BC3440}">
            <xm:f>NOT(ISERROR(SEARCH($Q$12,AM712)))</xm:f>
            <xm:f>$Q$12</xm:f>
            <x14:dxf>
              <fill>
                <patternFill>
                  <bgColor theme="9"/>
                </patternFill>
              </fill>
            </x14:dxf>
          </x14:cfRule>
          <x14:cfRule type="containsText" priority="3491" operator="containsText" id="{DB5D90CC-9CF3-4345-B091-CBEAE3E210FD}">
            <xm:f>NOT(ISERROR(SEARCH($Q$12,AM712)))</xm:f>
            <xm:f>$Q$12</xm:f>
            <x14:dxf>
              <fill>
                <patternFill>
                  <bgColor rgb="FFFFFF00"/>
                </patternFill>
              </fill>
            </x14:dxf>
          </x14:cfRule>
          <x14:cfRule type="containsText" priority="3486" operator="containsText" id="{340F167F-C20C-4227-B0C0-6252864AF199}">
            <xm:f>NOT(ISERROR(SEARCH($Q$12,AM712)))</xm:f>
            <xm:f>$Q$12</xm:f>
            <x14:dxf>
              <fill>
                <patternFill>
                  <bgColor rgb="FFFFFF00"/>
                </patternFill>
              </fill>
            </x14:dxf>
          </x14:cfRule>
          <xm:sqref>AM712:AN712</xm:sqref>
        </x14:conditionalFormatting>
        <x14:conditionalFormatting xmlns:xm="http://schemas.microsoft.com/office/excel/2006/main">
          <x14:cfRule type="containsText" priority="2989" operator="containsText" id="{B9E123FF-E18C-4F85-8BD5-DDFC682C5B3E}">
            <xm:f>NOT(ISERROR(SEARCH($Q$12,AM722)))</xm:f>
            <xm:f>$Q$12</xm:f>
            <x14:dxf>
              <fill>
                <patternFill>
                  <bgColor theme="9" tint="0.79998168889431442"/>
                </patternFill>
              </fill>
            </x14:dxf>
          </x14:cfRule>
          <x14:cfRule type="containsText" priority="2999" operator="containsText" id="{1E32787B-BF3B-4681-B526-5D07DE3361EC}">
            <xm:f>NOT(ISERROR(SEARCH($Q$12,AM722)))</xm:f>
            <xm:f>$Q$12</xm:f>
            <x14:dxf>
              <fill>
                <patternFill>
                  <bgColor rgb="FFFF0000"/>
                </patternFill>
              </fill>
            </x14:dxf>
          </x14:cfRule>
          <x14:cfRule type="containsText" priority="2998" operator="containsText" id="{F544604B-29F3-4750-82C4-539156567C9F}">
            <xm:f>NOT(ISERROR(SEARCH($Q$12,AM722)))</xm:f>
            <xm:f>$Q$12</xm:f>
            <x14:dxf>
              <fill>
                <patternFill>
                  <bgColor rgb="FFFFC000"/>
                </patternFill>
              </fill>
            </x14:dxf>
          </x14:cfRule>
          <x14:cfRule type="containsText" priority="2997" operator="containsText" id="{AB311E02-3215-4639-9E2B-C47D2DEB134F}">
            <xm:f>NOT(ISERROR(SEARCH($Q$12,AM722)))</xm:f>
            <xm:f>$Q$12</xm:f>
            <x14:dxf>
              <fill>
                <patternFill>
                  <bgColor rgb="FFFFFF00"/>
                </patternFill>
              </fill>
            </x14:dxf>
          </x14:cfRule>
          <x14:cfRule type="containsText" priority="2996" operator="containsText" id="{8AB12A38-D34C-40E9-AD29-7C90B2097DCE}">
            <xm:f>NOT(ISERROR(SEARCH($Q$12,AM722)))</xm:f>
            <xm:f>$Q$12</xm:f>
            <x14:dxf>
              <fill>
                <patternFill>
                  <bgColor theme="9"/>
                </patternFill>
              </fill>
            </x14:dxf>
          </x14:cfRule>
          <x14:cfRule type="containsText" priority="2995" operator="containsText" id="{8884B6A9-008D-4CA1-8686-36109FCCE036}">
            <xm:f>NOT(ISERROR(SEARCH($Q$12,AM722)))</xm:f>
            <xm:f>$Q$12</xm:f>
            <x14:dxf>
              <fill>
                <patternFill>
                  <bgColor theme="9" tint="0.59996337778862885"/>
                </patternFill>
              </fill>
            </x14:dxf>
          </x14:cfRule>
          <x14:cfRule type="containsText" priority="2994" operator="containsText" id="{2B867FF0-5C41-471F-BA14-21EBCC0F5167}">
            <xm:f>NOT(ISERROR(SEARCH($Q$12,AM722)))</xm:f>
            <xm:f>$Q$12</xm:f>
            <x14:dxf>
              <fill>
                <patternFill>
                  <bgColor rgb="FFFF0000"/>
                </patternFill>
              </fill>
            </x14:dxf>
          </x14:cfRule>
          <x14:cfRule type="containsText" priority="2993" operator="containsText" id="{F0571440-9872-4732-BA8F-05F797197588}">
            <xm:f>NOT(ISERROR(SEARCH($Q$12,AM722)))</xm:f>
            <xm:f>$Q$12</xm:f>
            <x14:dxf>
              <fill>
                <patternFill>
                  <bgColor rgb="FFFFC000"/>
                </patternFill>
              </fill>
            </x14:dxf>
          </x14:cfRule>
          <x14:cfRule type="containsText" priority="2992" operator="containsText" id="{5EF0EE3F-D027-47F2-A8B3-717471CCA335}">
            <xm:f>NOT(ISERROR(SEARCH($Q$12,AM722)))</xm:f>
            <xm:f>$Q$12</xm:f>
            <x14:dxf>
              <fill>
                <patternFill>
                  <bgColor rgb="FFFFFF00"/>
                </patternFill>
              </fill>
            </x14:dxf>
          </x14:cfRule>
          <x14:cfRule type="containsText" priority="2991" operator="containsText" id="{0F43DECE-8AA6-45D4-B922-8D7F14804001}">
            <xm:f>NOT(ISERROR(SEARCH($Q$12,AM722)))</xm:f>
            <xm:f>$Q$12</xm:f>
            <x14:dxf>
              <fill>
                <patternFill>
                  <bgColor rgb="FF00B050"/>
                </patternFill>
              </fill>
            </x14:dxf>
          </x14:cfRule>
          <x14:cfRule type="containsText" priority="2990" operator="containsText" id="{09C2E480-A117-483C-B46A-3E772B5D4686}">
            <xm:f>NOT(ISERROR(SEARCH($Q$12,AM722)))</xm:f>
            <xm:f>$Q$12</xm:f>
            <x14:dxf>
              <fill>
                <patternFill>
                  <bgColor theme="9" tint="0.39994506668294322"/>
                </patternFill>
              </fill>
            </x14:dxf>
          </x14:cfRule>
          <xm:sqref>AM722:AN722</xm:sqref>
        </x14:conditionalFormatting>
        <x14:conditionalFormatting xmlns:xm="http://schemas.microsoft.com/office/excel/2006/main">
          <x14:cfRule type="containsText" priority="2982" operator="containsText" id="{33C18FF8-22AC-414A-934C-954F7D653436}">
            <xm:f>NOT(ISERROR(SEARCH($Q$12,AM732)))</xm:f>
            <xm:f>$Q$12</xm:f>
            <x14:dxf>
              <fill>
                <patternFill>
                  <bgColor rgb="FFFFC000"/>
                </patternFill>
              </fill>
            </x14:dxf>
          </x14:cfRule>
          <x14:cfRule type="containsText" priority="2983" operator="containsText" id="{86C51BB7-54F6-487D-AC28-99E80DFC0F02}">
            <xm:f>NOT(ISERROR(SEARCH($Q$12,AM732)))</xm:f>
            <xm:f>$Q$12</xm:f>
            <x14:dxf>
              <fill>
                <patternFill>
                  <bgColor rgb="FFFF0000"/>
                </patternFill>
              </fill>
            </x14:dxf>
          </x14:cfRule>
          <x14:cfRule type="containsText" priority="2973" operator="containsText" id="{626FF70D-3ED4-43FB-B350-0817C2CD25B6}">
            <xm:f>NOT(ISERROR(SEARCH($Q$12,AM732)))</xm:f>
            <xm:f>$Q$12</xm:f>
            <x14:dxf>
              <fill>
                <patternFill>
                  <bgColor theme="9" tint="0.79998168889431442"/>
                </patternFill>
              </fill>
            </x14:dxf>
          </x14:cfRule>
          <x14:cfRule type="containsText" priority="2974" operator="containsText" id="{2A900919-16FD-4399-9EB2-46D9A7B2B86D}">
            <xm:f>NOT(ISERROR(SEARCH($Q$12,AM732)))</xm:f>
            <xm:f>$Q$12</xm:f>
            <x14:dxf>
              <fill>
                <patternFill>
                  <bgColor theme="9" tint="0.39994506668294322"/>
                </patternFill>
              </fill>
            </x14:dxf>
          </x14:cfRule>
          <x14:cfRule type="containsText" priority="2975" operator="containsText" id="{4A1B4743-CF14-44F8-BC6E-67EAA148C199}">
            <xm:f>NOT(ISERROR(SEARCH($Q$12,AM732)))</xm:f>
            <xm:f>$Q$12</xm:f>
            <x14:dxf>
              <fill>
                <patternFill>
                  <bgColor rgb="FF00B050"/>
                </patternFill>
              </fill>
            </x14:dxf>
          </x14:cfRule>
          <x14:cfRule type="containsText" priority="2976" operator="containsText" id="{45198E46-FC67-45FC-8419-4058B49C6755}">
            <xm:f>NOT(ISERROR(SEARCH($Q$12,AM732)))</xm:f>
            <xm:f>$Q$12</xm:f>
            <x14:dxf>
              <fill>
                <patternFill>
                  <bgColor rgb="FFFFFF00"/>
                </patternFill>
              </fill>
            </x14:dxf>
          </x14:cfRule>
          <x14:cfRule type="containsText" priority="2977" operator="containsText" id="{F5308551-0640-43F3-BC0F-347BE5D7621D}">
            <xm:f>NOT(ISERROR(SEARCH($Q$12,AM732)))</xm:f>
            <xm:f>$Q$12</xm:f>
            <x14:dxf>
              <fill>
                <patternFill>
                  <bgColor rgb="FFFFC000"/>
                </patternFill>
              </fill>
            </x14:dxf>
          </x14:cfRule>
          <x14:cfRule type="containsText" priority="2978" operator="containsText" id="{62317200-4C43-496A-9AD7-C3B189A60272}">
            <xm:f>NOT(ISERROR(SEARCH($Q$12,AM732)))</xm:f>
            <xm:f>$Q$12</xm:f>
            <x14:dxf>
              <fill>
                <patternFill>
                  <bgColor rgb="FFFF0000"/>
                </patternFill>
              </fill>
            </x14:dxf>
          </x14:cfRule>
          <x14:cfRule type="containsText" priority="2979" operator="containsText" id="{541ADEA2-2108-4A32-B0DE-7438A31EB4BF}">
            <xm:f>NOT(ISERROR(SEARCH($Q$12,AM732)))</xm:f>
            <xm:f>$Q$12</xm:f>
            <x14:dxf>
              <fill>
                <patternFill>
                  <bgColor theme="9" tint="0.59996337778862885"/>
                </patternFill>
              </fill>
            </x14:dxf>
          </x14:cfRule>
          <x14:cfRule type="containsText" priority="2980" operator="containsText" id="{4678684A-485C-4410-9788-3AF988E93BF1}">
            <xm:f>NOT(ISERROR(SEARCH($Q$12,AM732)))</xm:f>
            <xm:f>$Q$12</xm:f>
            <x14:dxf>
              <fill>
                <patternFill>
                  <bgColor theme="9"/>
                </patternFill>
              </fill>
            </x14:dxf>
          </x14:cfRule>
          <x14:cfRule type="containsText" priority="2981" operator="containsText" id="{549940A8-8AE4-44EC-8EB7-D7FE728513C4}">
            <xm:f>NOT(ISERROR(SEARCH($Q$12,AM732)))</xm:f>
            <xm:f>$Q$12</xm:f>
            <x14:dxf>
              <fill>
                <patternFill>
                  <bgColor rgb="FFFFFF00"/>
                </patternFill>
              </fill>
            </x14:dxf>
          </x14:cfRule>
          <xm:sqref>AM732:AN732</xm:sqref>
        </x14:conditionalFormatting>
        <x14:conditionalFormatting xmlns:xm="http://schemas.microsoft.com/office/excel/2006/main">
          <x14:cfRule type="containsText" priority="2960" operator="containsText" id="{9FD00E60-526F-46FF-B31D-4801203327C5}">
            <xm:f>NOT(ISERROR(SEARCH($Q$12,AM742)))</xm:f>
            <xm:f>$Q$12</xm:f>
            <x14:dxf>
              <fill>
                <patternFill>
                  <bgColor rgb="FFFFFF00"/>
                </patternFill>
              </fill>
            </x14:dxf>
          </x14:cfRule>
          <x14:cfRule type="containsText" priority="2964" operator="containsText" id="{1130BB3E-9B7B-4EA9-AE1A-6D1A7351086C}">
            <xm:f>NOT(ISERROR(SEARCH($Q$12,AM742)))</xm:f>
            <xm:f>$Q$12</xm:f>
            <x14:dxf>
              <fill>
                <patternFill>
                  <bgColor theme="9"/>
                </patternFill>
              </fill>
            </x14:dxf>
          </x14:cfRule>
          <x14:cfRule type="containsText" priority="2965" operator="containsText" id="{2CF279BA-5BAA-4324-A3EB-E938602A2519}">
            <xm:f>NOT(ISERROR(SEARCH($Q$12,AM742)))</xm:f>
            <xm:f>$Q$12</xm:f>
            <x14:dxf>
              <fill>
                <patternFill>
                  <bgColor rgb="FFFFFF00"/>
                </patternFill>
              </fill>
            </x14:dxf>
          </x14:cfRule>
          <x14:cfRule type="containsText" priority="2966" operator="containsText" id="{8B0558E6-F110-47CC-9A80-568A576F19F2}">
            <xm:f>NOT(ISERROR(SEARCH($Q$12,AM742)))</xm:f>
            <xm:f>$Q$12</xm:f>
            <x14:dxf>
              <fill>
                <patternFill>
                  <bgColor rgb="FFFFC000"/>
                </patternFill>
              </fill>
            </x14:dxf>
          </x14:cfRule>
          <x14:cfRule type="containsText" priority="2967" operator="containsText" id="{2BEFA08F-06DE-4359-82BD-33DA3C95C084}">
            <xm:f>NOT(ISERROR(SEARCH($Q$12,AM742)))</xm:f>
            <xm:f>$Q$12</xm:f>
            <x14:dxf>
              <fill>
                <patternFill>
                  <bgColor rgb="FFFF0000"/>
                </patternFill>
              </fill>
            </x14:dxf>
          </x14:cfRule>
          <x14:cfRule type="containsText" priority="2957" operator="containsText" id="{77BE2D2B-3518-416B-96AC-667ABF53D1F7}">
            <xm:f>NOT(ISERROR(SEARCH($Q$12,AM742)))</xm:f>
            <xm:f>$Q$12</xm:f>
            <x14:dxf>
              <fill>
                <patternFill>
                  <bgColor theme="9" tint="0.79998168889431442"/>
                </patternFill>
              </fill>
            </x14:dxf>
          </x14:cfRule>
          <x14:cfRule type="containsText" priority="2958" operator="containsText" id="{D8EE5D12-1D18-48CF-A33D-51B1BB0AA5CC}">
            <xm:f>NOT(ISERROR(SEARCH($Q$12,AM742)))</xm:f>
            <xm:f>$Q$12</xm:f>
            <x14:dxf>
              <fill>
                <patternFill>
                  <bgColor theme="9" tint="0.39994506668294322"/>
                </patternFill>
              </fill>
            </x14:dxf>
          </x14:cfRule>
          <x14:cfRule type="containsText" priority="2959" operator="containsText" id="{6A98E82B-01BC-492C-B3D4-5D3B5CD1FC6B}">
            <xm:f>NOT(ISERROR(SEARCH($Q$12,AM742)))</xm:f>
            <xm:f>$Q$12</xm:f>
            <x14:dxf>
              <fill>
                <patternFill>
                  <bgColor rgb="FF00B050"/>
                </patternFill>
              </fill>
            </x14:dxf>
          </x14:cfRule>
          <x14:cfRule type="containsText" priority="2961" operator="containsText" id="{84D4A91E-B7F4-4207-ACBD-9196E37CAFBE}">
            <xm:f>NOT(ISERROR(SEARCH($Q$12,AM742)))</xm:f>
            <xm:f>$Q$12</xm:f>
            <x14:dxf>
              <fill>
                <patternFill>
                  <bgColor rgb="FFFFC000"/>
                </patternFill>
              </fill>
            </x14:dxf>
          </x14:cfRule>
          <x14:cfRule type="containsText" priority="2962" operator="containsText" id="{627A6599-459A-4B7C-B026-F1341A929666}">
            <xm:f>NOT(ISERROR(SEARCH($Q$12,AM742)))</xm:f>
            <xm:f>$Q$12</xm:f>
            <x14:dxf>
              <fill>
                <patternFill>
                  <bgColor rgb="FFFF0000"/>
                </patternFill>
              </fill>
            </x14:dxf>
          </x14:cfRule>
          <x14:cfRule type="containsText" priority="2963" operator="containsText" id="{65E67F2D-D333-4661-A290-E9466778299D}">
            <xm:f>NOT(ISERROR(SEARCH($Q$12,AM742)))</xm:f>
            <xm:f>$Q$12</xm:f>
            <x14:dxf>
              <fill>
                <patternFill>
                  <bgColor theme="9" tint="0.59996337778862885"/>
                </patternFill>
              </fill>
            </x14:dxf>
          </x14:cfRule>
          <xm:sqref>AM742:AN742</xm:sqref>
        </x14:conditionalFormatting>
        <x14:conditionalFormatting xmlns:xm="http://schemas.microsoft.com/office/excel/2006/main">
          <x14:cfRule type="containsText" priority="2949" operator="containsText" id="{27B56266-EB88-444A-8C27-CBB3CA3E7566}">
            <xm:f>NOT(ISERROR(SEARCH($Q$12,AM752)))</xm:f>
            <xm:f>$Q$12</xm:f>
            <x14:dxf>
              <fill>
                <patternFill>
                  <bgColor rgb="FFFFFF00"/>
                </patternFill>
              </fill>
            </x14:dxf>
          </x14:cfRule>
          <x14:cfRule type="containsText" priority="2950" operator="containsText" id="{9037FC46-929E-4D6C-BF49-F7D01D2E0BDC}">
            <xm:f>NOT(ISERROR(SEARCH($Q$12,AM752)))</xm:f>
            <xm:f>$Q$12</xm:f>
            <x14:dxf>
              <fill>
                <patternFill>
                  <bgColor rgb="FFFFC000"/>
                </patternFill>
              </fill>
            </x14:dxf>
          </x14:cfRule>
          <x14:cfRule type="containsText" priority="2951" operator="containsText" id="{5FC41AC4-21AE-4855-8DC1-472FDD3E8E7F}">
            <xm:f>NOT(ISERROR(SEARCH($Q$12,AM752)))</xm:f>
            <xm:f>$Q$12</xm:f>
            <x14:dxf>
              <fill>
                <patternFill>
                  <bgColor rgb="FFFF0000"/>
                </patternFill>
              </fill>
            </x14:dxf>
          </x14:cfRule>
          <x14:cfRule type="containsText" priority="2948" operator="containsText" id="{25F2C119-9D16-4B1E-82DB-23C153325192}">
            <xm:f>NOT(ISERROR(SEARCH($Q$12,AM752)))</xm:f>
            <xm:f>$Q$12</xm:f>
            <x14:dxf>
              <fill>
                <patternFill>
                  <bgColor theme="9"/>
                </patternFill>
              </fill>
            </x14:dxf>
          </x14:cfRule>
          <x14:cfRule type="containsText" priority="2947" operator="containsText" id="{28C95EBA-520B-4AA0-986B-A1687D73E8E4}">
            <xm:f>NOT(ISERROR(SEARCH($Q$12,AM752)))</xm:f>
            <xm:f>$Q$12</xm:f>
            <x14:dxf>
              <fill>
                <patternFill>
                  <bgColor theme="9" tint="0.59996337778862885"/>
                </patternFill>
              </fill>
            </x14:dxf>
          </x14:cfRule>
          <x14:cfRule type="containsText" priority="2946" operator="containsText" id="{490759DE-3177-489F-901D-83E16366210A}">
            <xm:f>NOT(ISERROR(SEARCH($Q$12,AM752)))</xm:f>
            <xm:f>$Q$12</xm:f>
            <x14:dxf>
              <fill>
                <patternFill>
                  <bgColor rgb="FFFF0000"/>
                </patternFill>
              </fill>
            </x14:dxf>
          </x14:cfRule>
          <x14:cfRule type="containsText" priority="2945" operator="containsText" id="{CAB1DF9E-BBCF-4BB4-906E-558F238BF093}">
            <xm:f>NOT(ISERROR(SEARCH($Q$12,AM752)))</xm:f>
            <xm:f>$Q$12</xm:f>
            <x14:dxf>
              <fill>
                <patternFill>
                  <bgColor rgb="FFFFC000"/>
                </patternFill>
              </fill>
            </x14:dxf>
          </x14:cfRule>
          <x14:cfRule type="containsText" priority="2944" operator="containsText" id="{D3BF5FFE-8D24-44E9-8618-1D2FAF3D7BCC}">
            <xm:f>NOT(ISERROR(SEARCH($Q$12,AM752)))</xm:f>
            <xm:f>$Q$12</xm:f>
            <x14:dxf>
              <fill>
                <patternFill>
                  <bgColor rgb="FFFFFF00"/>
                </patternFill>
              </fill>
            </x14:dxf>
          </x14:cfRule>
          <x14:cfRule type="containsText" priority="2943" operator="containsText" id="{E78C2CA9-8CFE-47CA-A878-354EB026005D}">
            <xm:f>NOT(ISERROR(SEARCH($Q$12,AM752)))</xm:f>
            <xm:f>$Q$12</xm:f>
            <x14:dxf>
              <fill>
                <patternFill>
                  <bgColor rgb="FF00B050"/>
                </patternFill>
              </fill>
            </x14:dxf>
          </x14:cfRule>
          <x14:cfRule type="containsText" priority="2942" operator="containsText" id="{DF199CBF-BFB4-4366-AF49-15F12B5B6646}">
            <xm:f>NOT(ISERROR(SEARCH($Q$12,AM752)))</xm:f>
            <xm:f>$Q$12</xm:f>
            <x14:dxf>
              <fill>
                <patternFill>
                  <bgColor theme="9" tint="0.39994506668294322"/>
                </patternFill>
              </fill>
            </x14:dxf>
          </x14:cfRule>
          <x14:cfRule type="containsText" priority="2941" operator="containsText" id="{118B142E-3C01-4EE5-B715-516C842486BE}">
            <xm:f>NOT(ISERROR(SEARCH($Q$12,AM752)))</xm:f>
            <xm:f>$Q$12</xm:f>
            <x14:dxf>
              <fill>
                <patternFill>
                  <bgColor theme="9" tint="0.79998168889431442"/>
                </patternFill>
              </fill>
            </x14:dxf>
          </x14:cfRule>
          <xm:sqref>AM752:AN752</xm:sqref>
        </x14:conditionalFormatting>
        <x14:conditionalFormatting xmlns:xm="http://schemas.microsoft.com/office/excel/2006/main">
          <x14:cfRule type="containsText" priority="2933" operator="containsText" id="{28B7521B-A304-4467-B34F-0F30B24CAB94}">
            <xm:f>NOT(ISERROR(SEARCH($Q$12,AM762)))</xm:f>
            <xm:f>$Q$12</xm:f>
            <x14:dxf>
              <fill>
                <patternFill>
                  <bgColor rgb="FFFFFF00"/>
                </patternFill>
              </fill>
            </x14:dxf>
          </x14:cfRule>
          <x14:cfRule type="containsText" priority="2934" operator="containsText" id="{92389A0C-9D35-4808-92E5-2D54CEAD36D6}">
            <xm:f>NOT(ISERROR(SEARCH($Q$12,AM762)))</xm:f>
            <xm:f>$Q$12</xm:f>
            <x14:dxf>
              <fill>
                <patternFill>
                  <bgColor rgb="FFFFC000"/>
                </patternFill>
              </fill>
            </x14:dxf>
          </x14:cfRule>
          <x14:cfRule type="containsText" priority="2935" operator="containsText" id="{B6D4C4B1-E72F-431E-9EDC-E21B8703BE3A}">
            <xm:f>NOT(ISERROR(SEARCH($Q$12,AM762)))</xm:f>
            <xm:f>$Q$12</xm:f>
            <x14:dxf>
              <fill>
                <patternFill>
                  <bgColor rgb="FFFF0000"/>
                </patternFill>
              </fill>
            </x14:dxf>
          </x14:cfRule>
          <x14:cfRule type="containsText" priority="2931" operator="containsText" id="{24F4BE32-9114-4607-A722-4EF87F30E7DE}">
            <xm:f>NOT(ISERROR(SEARCH($Q$12,AM762)))</xm:f>
            <xm:f>$Q$12</xm:f>
            <x14:dxf>
              <fill>
                <patternFill>
                  <bgColor theme="9" tint="0.59996337778862885"/>
                </patternFill>
              </fill>
            </x14:dxf>
          </x14:cfRule>
          <x14:cfRule type="containsText" priority="2925" operator="containsText" id="{3AD515F0-5291-42C2-95AF-1C7DC00DDF63}">
            <xm:f>NOT(ISERROR(SEARCH($Q$12,AM762)))</xm:f>
            <xm:f>$Q$12</xm:f>
            <x14:dxf>
              <fill>
                <patternFill>
                  <bgColor theme="9" tint="0.79998168889431442"/>
                </patternFill>
              </fill>
            </x14:dxf>
          </x14:cfRule>
          <x14:cfRule type="containsText" priority="2926" operator="containsText" id="{880E6975-135E-4494-8409-DF827155C259}">
            <xm:f>NOT(ISERROR(SEARCH($Q$12,AM762)))</xm:f>
            <xm:f>$Q$12</xm:f>
            <x14:dxf>
              <fill>
                <patternFill>
                  <bgColor theme="9" tint="0.39994506668294322"/>
                </patternFill>
              </fill>
            </x14:dxf>
          </x14:cfRule>
          <x14:cfRule type="containsText" priority="2927" operator="containsText" id="{754EA371-4161-4022-A20B-49229082FB16}">
            <xm:f>NOT(ISERROR(SEARCH($Q$12,AM762)))</xm:f>
            <xm:f>$Q$12</xm:f>
            <x14:dxf>
              <fill>
                <patternFill>
                  <bgColor rgb="FF00B050"/>
                </patternFill>
              </fill>
            </x14:dxf>
          </x14:cfRule>
          <x14:cfRule type="containsText" priority="2928" operator="containsText" id="{3328D561-C319-4B0C-BB2B-F41D04195FE8}">
            <xm:f>NOT(ISERROR(SEARCH($Q$12,AM762)))</xm:f>
            <xm:f>$Q$12</xm:f>
            <x14:dxf>
              <fill>
                <patternFill>
                  <bgColor rgb="FFFFFF00"/>
                </patternFill>
              </fill>
            </x14:dxf>
          </x14:cfRule>
          <x14:cfRule type="containsText" priority="2929" operator="containsText" id="{45B9E6F0-69E4-4E32-B1FE-3A056E5A9AE0}">
            <xm:f>NOT(ISERROR(SEARCH($Q$12,AM762)))</xm:f>
            <xm:f>$Q$12</xm:f>
            <x14:dxf>
              <fill>
                <patternFill>
                  <bgColor rgb="FFFFC000"/>
                </patternFill>
              </fill>
            </x14:dxf>
          </x14:cfRule>
          <x14:cfRule type="containsText" priority="2930" operator="containsText" id="{5C91C664-8A36-4D3C-B70F-BF7A16953A0F}">
            <xm:f>NOT(ISERROR(SEARCH($Q$12,AM762)))</xm:f>
            <xm:f>$Q$12</xm:f>
            <x14:dxf>
              <fill>
                <patternFill>
                  <bgColor rgb="FFFF0000"/>
                </patternFill>
              </fill>
            </x14:dxf>
          </x14:cfRule>
          <x14:cfRule type="containsText" priority="2932" operator="containsText" id="{2396D751-EF6F-4A52-8EAE-A0A730FFD737}">
            <xm:f>NOT(ISERROR(SEARCH($Q$12,AM762)))</xm:f>
            <xm:f>$Q$12</xm:f>
            <x14:dxf>
              <fill>
                <patternFill>
                  <bgColor theme="9"/>
                </patternFill>
              </fill>
            </x14:dxf>
          </x14:cfRule>
          <xm:sqref>AM762:AN762</xm:sqref>
        </x14:conditionalFormatting>
        <x14:conditionalFormatting xmlns:xm="http://schemas.microsoft.com/office/excel/2006/main">
          <x14:cfRule type="containsText" priority="2914" operator="containsText" id="{5B690CF0-8462-4221-AE42-976C2DBE1DC9}">
            <xm:f>NOT(ISERROR(SEARCH($Q$12,AM772)))</xm:f>
            <xm:f>$Q$12</xm:f>
            <x14:dxf>
              <fill>
                <patternFill>
                  <bgColor rgb="FFFF0000"/>
                </patternFill>
              </fill>
            </x14:dxf>
          </x14:cfRule>
          <x14:cfRule type="containsText" priority="2909" operator="containsText" id="{4C4E197D-5709-4D8D-B841-0ABD851FBC8A}">
            <xm:f>NOT(ISERROR(SEARCH($Q$12,AM772)))</xm:f>
            <xm:f>$Q$12</xm:f>
            <x14:dxf>
              <fill>
                <patternFill>
                  <bgColor theme="9" tint="0.79998168889431442"/>
                </patternFill>
              </fill>
            </x14:dxf>
          </x14:cfRule>
          <x14:cfRule type="containsText" priority="2910" operator="containsText" id="{7872985D-839A-4553-9D54-EC3A6E596E8F}">
            <xm:f>NOT(ISERROR(SEARCH($Q$12,AM772)))</xm:f>
            <xm:f>$Q$12</xm:f>
            <x14:dxf>
              <fill>
                <patternFill>
                  <bgColor theme="9" tint="0.39994506668294322"/>
                </patternFill>
              </fill>
            </x14:dxf>
          </x14:cfRule>
          <x14:cfRule type="containsText" priority="2911" operator="containsText" id="{FF68AB39-F301-4FD9-895F-2E523252477F}">
            <xm:f>NOT(ISERROR(SEARCH($Q$12,AM772)))</xm:f>
            <xm:f>$Q$12</xm:f>
            <x14:dxf>
              <fill>
                <patternFill>
                  <bgColor rgb="FF00B050"/>
                </patternFill>
              </fill>
            </x14:dxf>
          </x14:cfRule>
          <x14:cfRule type="containsText" priority="2912" operator="containsText" id="{050835C4-F341-45D9-B0D3-82FBB52F313A}">
            <xm:f>NOT(ISERROR(SEARCH($Q$12,AM772)))</xm:f>
            <xm:f>$Q$12</xm:f>
            <x14:dxf>
              <fill>
                <patternFill>
                  <bgColor rgb="FFFFFF00"/>
                </patternFill>
              </fill>
            </x14:dxf>
          </x14:cfRule>
          <x14:cfRule type="containsText" priority="2913" operator="containsText" id="{807FE1F7-8CF3-4CF2-9211-0AAA9BBCC013}">
            <xm:f>NOT(ISERROR(SEARCH($Q$12,AM772)))</xm:f>
            <xm:f>$Q$12</xm:f>
            <x14:dxf>
              <fill>
                <patternFill>
                  <bgColor rgb="FFFFC000"/>
                </patternFill>
              </fill>
            </x14:dxf>
          </x14:cfRule>
          <x14:cfRule type="containsText" priority="2919" operator="containsText" id="{54F17413-C711-4108-8C82-65C9F1F8B904}">
            <xm:f>NOT(ISERROR(SEARCH($Q$12,AM772)))</xm:f>
            <xm:f>$Q$12</xm:f>
            <x14:dxf>
              <fill>
                <patternFill>
                  <bgColor rgb="FFFF0000"/>
                </patternFill>
              </fill>
            </x14:dxf>
          </x14:cfRule>
          <x14:cfRule type="containsText" priority="2918" operator="containsText" id="{7E1A25C5-1631-465C-B570-EF924474124B}">
            <xm:f>NOT(ISERROR(SEARCH($Q$12,AM772)))</xm:f>
            <xm:f>$Q$12</xm:f>
            <x14:dxf>
              <fill>
                <patternFill>
                  <bgColor rgb="FFFFC000"/>
                </patternFill>
              </fill>
            </x14:dxf>
          </x14:cfRule>
          <x14:cfRule type="containsText" priority="2917" operator="containsText" id="{1B600F60-7F2D-48C0-86F9-5E2D1C3F1C83}">
            <xm:f>NOT(ISERROR(SEARCH($Q$12,AM772)))</xm:f>
            <xm:f>$Q$12</xm:f>
            <x14:dxf>
              <fill>
                <patternFill>
                  <bgColor rgb="FFFFFF00"/>
                </patternFill>
              </fill>
            </x14:dxf>
          </x14:cfRule>
          <x14:cfRule type="containsText" priority="2916" operator="containsText" id="{96C84A83-3256-41BB-B669-E6DBE2772519}">
            <xm:f>NOT(ISERROR(SEARCH($Q$12,AM772)))</xm:f>
            <xm:f>$Q$12</xm:f>
            <x14:dxf>
              <fill>
                <patternFill>
                  <bgColor theme="9"/>
                </patternFill>
              </fill>
            </x14:dxf>
          </x14:cfRule>
          <x14:cfRule type="containsText" priority="2915" operator="containsText" id="{103BBA70-472B-4EC3-9C56-498C3923C5F4}">
            <xm:f>NOT(ISERROR(SEARCH($Q$12,AM772)))</xm:f>
            <xm:f>$Q$12</xm:f>
            <x14:dxf>
              <fill>
                <patternFill>
                  <bgColor theme="9" tint="0.59996337778862885"/>
                </patternFill>
              </fill>
            </x14:dxf>
          </x14:cfRule>
          <xm:sqref>AM772:AN772</xm:sqref>
        </x14:conditionalFormatting>
        <x14:conditionalFormatting xmlns:xm="http://schemas.microsoft.com/office/excel/2006/main">
          <x14:cfRule type="containsText" priority="2903" operator="containsText" id="{346053FB-7E02-4006-8ED9-16B5213A8C85}">
            <xm:f>NOT(ISERROR(SEARCH($Q$12,AM782)))</xm:f>
            <xm:f>$Q$12</xm:f>
            <x14:dxf>
              <fill>
                <patternFill>
                  <bgColor rgb="FFFF0000"/>
                </patternFill>
              </fill>
            </x14:dxf>
          </x14:cfRule>
          <x14:cfRule type="containsText" priority="2902" operator="containsText" id="{43E0AC38-27F7-490A-91A0-1534839DB07D}">
            <xm:f>NOT(ISERROR(SEARCH($Q$12,AM782)))</xm:f>
            <xm:f>$Q$12</xm:f>
            <x14:dxf>
              <fill>
                <patternFill>
                  <bgColor rgb="FFFFC000"/>
                </patternFill>
              </fill>
            </x14:dxf>
          </x14:cfRule>
          <x14:cfRule type="containsText" priority="2901" operator="containsText" id="{5B23E9BF-48E6-406D-8C5D-5908DC1555F7}">
            <xm:f>NOT(ISERROR(SEARCH($Q$12,AM782)))</xm:f>
            <xm:f>$Q$12</xm:f>
            <x14:dxf>
              <fill>
                <patternFill>
                  <bgColor rgb="FFFFFF00"/>
                </patternFill>
              </fill>
            </x14:dxf>
          </x14:cfRule>
          <x14:cfRule type="containsText" priority="2900" operator="containsText" id="{1627ACD2-4291-48F6-9560-0E464CF3F283}">
            <xm:f>NOT(ISERROR(SEARCH($Q$12,AM782)))</xm:f>
            <xm:f>$Q$12</xm:f>
            <x14:dxf>
              <fill>
                <patternFill>
                  <bgColor theme="9"/>
                </patternFill>
              </fill>
            </x14:dxf>
          </x14:cfRule>
          <x14:cfRule type="containsText" priority="2899" operator="containsText" id="{88D15DC9-3D34-419B-9D1A-86BA1B3CCEF0}">
            <xm:f>NOT(ISERROR(SEARCH($Q$12,AM782)))</xm:f>
            <xm:f>$Q$12</xm:f>
            <x14:dxf>
              <fill>
                <patternFill>
                  <bgColor theme="9" tint="0.59996337778862885"/>
                </patternFill>
              </fill>
            </x14:dxf>
          </x14:cfRule>
          <x14:cfRule type="containsText" priority="2898" operator="containsText" id="{7B1473A3-E2C4-49D8-AFBC-38D59064633D}">
            <xm:f>NOT(ISERROR(SEARCH($Q$12,AM782)))</xm:f>
            <xm:f>$Q$12</xm:f>
            <x14:dxf>
              <fill>
                <patternFill>
                  <bgColor rgb="FFFF0000"/>
                </patternFill>
              </fill>
            </x14:dxf>
          </x14:cfRule>
          <x14:cfRule type="containsText" priority="2897" operator="containsText" id="{3D2C86E1-59E6-4151-9146-612B9CD9CC37}">
            <xm:f>NOT(ISERROR(SEARCH($Q$12,AM782)))</xm:f>
            <xm:f>$Q$12</xm:f>
            <x14:dxf>
              <fill>
                <patternFill>
                  <bgColor rgb="FFFFC000"/>
                </patternFill>
              </fill>
            </x14:dxf>
          </x14:cfRule>
          <x14:cfRule type="containsText" priority="2893" operator="containsText" id="{D1260EC6-5724-4A5B-B1EB-5948805AD05E}">
            <xm:f>NOT(ISERROR(SEARCH($Q$12,AM782)))</xm:f>
            <xm:f>$Q$12</xm:f>
            <x14:dxf>
              <fill>
                <patternFill>
                  <bgColor theme="9" tint="0.79998168889431442"/>
                </patternFill>
              </fill>
            </x14:dxf>
          </x14:cfRule>
          <x14:cfRule type="containsText" priority="2894" operator="containsText" id="{5EC3FC9D-9A40-4FD2-907A-8500BE386492}">
            <xm:f>NOT(ISERROR(SEARCH($Q$12,AM782)))</xm:f>
            <xm:f>$Q$12</xm:f>
            <x14:dxf>
              <fill>
                <patternFill>
                  <bgColor theme="9" tint="0.39994506668294322"/>
                </patternFill>
              </fill>
            </x14:dxf>
          </x14:cfRule>
          <x14:cfRule type="containsText" priority="2895" operator="containsText" id="{185D93FF-BF93-4FA6-9DA1-CB084429EDA3}">
            <xm:f>NOT(ISERROR(SEARCH($Q$12,AM782)))</xm:f>
            <xm:f>$Q$12</xm:f>
            <x14:dxf>
              <fill>
                <patternFill>
                  <bgColor rgb="FF00B050"/>
                </patternFill>
              </fill>
            </x14:dxf>
          </x14:cfRule>
          <x14:cfRule type="containsText" priority="2896" operator="containsText" id="{965C8228-685C-4C25-8214-2FDF22167370}">
            <xm:f>NOT(ISERROR(SEARCH($Q$12,AM782)))</xm:f>
            <xm:f>$Q$12</xm:f>
            <x14:dxf>
              <fill>
                <patternFill>
                  <bgColor rgb="FFFFFF00"/>
                </patternFill>
              </fill>
            </x14:dxf>
          </x14:cfRule>
          <xm:sqref>AM782:AN782</xm:sqref>
        </x14:conditionalFormatting>
        <x14:conditionalFormatting xmlns:xm="http://schemas.microsoft.com/office/excel/2006/main">
          <x14:cfRule type="containsText" priority="2878" operator="containsText" id="{2DEBE8B5-52C7-45D5-92D8-374080C9F93A}">
            <xm:f>NOT(ISERROR(SEARCH($Q$12,AM792)))</xm:f>
            <xm:f>$Q$12</xm:f>
            <x14:dxf>
              <fill>
                <patternFill>
                  <bgColor theme="9" tint="0.39994506668294322"/>
                </patternFill>
              </fill>
            </x14:dxf>
          </x14:cfRule>
          <x14:cfRule type="containsText" priority="2877" operator="containsText" id="{93EF52B3-B48A-4123-8699-48299A16EB0C}">
            <xm:f>NOT(ISERROR(SEARCH($Q$12,AM792)))</xm:f>
            <xm:f>$Q$12</xm:f>
            <x14:dxf>
              <fill>
                <patternFill>
                  <bgColor theme="9" tint="0.79998168889431442"/>
                </patternFill>
              </fill>
            </x14:dxf>
          </x14:cfRule>
          <x14:cfRule type="containsText" priority="2884" operator="containsText" id="{0F64C27C-4A2E-4F2C-846B-403924919C48}">
            <xm:f>NOT(ISERROR(SEARCH($Q$12,AM792)))</xm:f>
            <xm:f>$Q$12</xm:f>
            <x14:dxf>
              <fill>
                <patternFill>
                  <bgColor theme="9"/>
                </patternFill>
              </fill>
            </x14:dxf>
          </x14:cfRule>
          <x14:cfRule type="containsText" priority="2881" operator="containsText" id="{D595B600-1B5E-4AB3-A93E-C2DB2611388D}">
            <xm:f>NOT(ISERROR(SEARCH($Q$12,AM792)))</xm:f>
            <xm:f>$Q$12</xm:f>
            <x14:dxf>
              <fill>
                <patternFill>
                  <bgColor rgb="FFFFC000"/>
                </patternFill>
              </fill>
            </x14:dxf>
          </x14:cfRule>
          <x14:cfRule type="containsText" priority="2880" operator="containsText" id="{A80EE4C7-23E2-48CC-A131-FC95C819B757}">
            <xm:f>NOT(ISERROR(SEARCH($Q$12,AM792)))</xm:f>
            <xm:f>$Q$12</xm:f>
            <x14:dxf>
              <fill>
                <patternFill>
                  <bgColor rgb="FFFFFF00"/>
                </patternFill>
              </fill>
            </x14:dxf>
          </x14:cfRule>
          <x14:cfRule type="containsText" priority="2879" operator="containsText" id="{EC5FFEE8-6DB5-4B8D-9EFD-0FE26CD20A36}">
            <xm:f>NOT(ISERROR(SEARCH($Q$12,AM792)))</xm:f>
            <xm:f>$Q$12</xm:f>
            <x14:dxf>
              <fill>
                <patternFill>
                  <bgColor rgb="FF00B050"/>
                </patternFill>
              </fill>
            </x14:dxf>
          </x14:cfRule>
          <x14:cfRule type="containsText" priority="2882" operator="containsText" id="{B10C1BDC-B18C-4D0B-A324-3E51880CC5EA}">
            <xm:f>NOT(ISERROR(SEARCH($Q$12,AM792)))</xm:f>
            <xm:f>$Q$12</xm:f>
            <x14:dxf>
              <fill>
                <patternFill>
                  <bgColor rgb="FFFF0000"/>
                </patternFill>
              </fill>
            </x14:dxf>
          </x14:cfRule>
          <x14:cfRule type="containsText" priority="2883" operator="containsText" id="{5E0150B1-7FCD-4555-9AC6-CB63C0F94031}">
            <xm:f>NOT(ISERROR(SEARCH($Q$12,AM792)))</xm:f>
            <xm:f>$Q$12</xm:f>
            <x14:dxf>
              <fill>
                <patternFill>
                  <bgColor theme="9" tint="0.59996337778862885"/>
                </patternFill>
              </fill>
            </x14:dxf>
          </x14:cfRule>
          <x14:cfRule type="containsText" priority="2885" operator="containsText" id="{DF157C7A-138E-46ED-92C8-091494A434BE}">
            <xm:f>NOT(ISERROR(SEARCH($Q$12,AM792)))</xm:f>
            <xm:f>$Q$12</xm:f>
            <x14:dxf>
              <fill>
                <patternFill>
                  <bgColor rgb="FFFFFF00"/>
                </patternFill>
              </fill>
            </x14:dxf>
          </x14:cfRule>
          <x14:cfRule type="containsText" priority="2886" operator="containsText" id="{821A7678-7287-4FEE-85CF-51A7E333A1EE}">
            <xm:f>NOT(ISERROR(SEARCH($Q$12,AM792)))</xm:f>
            <xm:f>$Q$12</xm:f>
            <x14:dxf>
              <fill>
                <patternFill>
                  <bgColor rgb="FFFFC000"/>
                </patternFill>
              </fill>
            </x14:dxf>
          </x14:cfRule>
          <x14:cfRule type="containsText" priority="2887" operator="containsText" id="{46291F81-B337-415B-B4C8-0C805DDB1A11}">
            <xm:f>NOT(ISERROR(SEARCH($Q$12,AM792)))</xm:f>
            <xm:f>$Q$12</xm:f>
            <x14:dxf>
              <fill>
                <patternFill>
                  <bgColor rgb="FFFF0000"/>
                </patternFill>
              </fill>
            </x14:dxf>
          </x14:cfRule>
          <xm:sqref>AM792:AN792</xm:sqref>
        </x14:conditionalFormatting>
        <x14:conditionalFormatting xmlns:xm="http://schemas.microsoft.com/office/excel/2006/main">
          <x14:cfRule type="containsText" priority="2866" operator="containsText" id="{0FA16BF2-7D4A-4EAC-B07D-7AF1C6FD2E1D}">
            <xm:f>NOT(ISERROR(SEARCH($Q$12,AM802)))</xm:f>
            <xm:f>$Q$12</xm:f>
            <x14:dxf>
              <fill>
                <patternFill>
                  <bgColor rgb="FFFF0000"/>
                </patternFill>
              </fill>
            </x14:dxf>
          </x14:cfRule>
          <x14:cfRule type="containsText" priority="2871" operator="containsText" id="{3A307C2E-B586-4219-87EB-4861EF46C89B}">
            <xm:f>NOT(ISERROR(SEARCH($Q$12,AM802)))</xm:f>
            <xm:f>$Q$12</xm:f>
            <x14:dxf>
              <fill>
                <patternFill>
                  <bgColor rgb="FFFF0000"/>
                </patternFill>
              </fill>
            </x14:dxf>
          </x14:cfRule>
          <x14:cfRule type="containsText" priority="2870" operator="containsText" id="{7D8134A9-A0B6-44A4-8E24-6C1B6EFD2497}">
            <xm:f>NOT(ISERROR(SEARCH($Q$12,AM802)))</xm:f>
            <xm:f>$Q$12</xm:f>
            <x14:dxf>
              <fill>
                <patternFill>
                  <bgColor rgb="FFFFC000"/>
                </patternFill>
              </fill>
            </x14:dxf>
          </x14:cfRule>
          <x14:cfRule type="containsText" priority="2869" operator="containsText" id="{25A43166-B6CD-4652-B33B-41451228A207}">
            <xm:f>NOT(ISERROR(SEARCH($Q$12,AM802)))</xm:f>
            <xm:f>$Q$12</xm:f>
            <x14:dxf>
              <fill>
                <patternFill>
                  <bgColor rgb="FFFFFF00"/>
                </patternFill>
              </fill>
            </x14:dxf>
          </x14:cfRule>
          <x14:cfRule type="containsText" priority="2868" operator="containsText" id="{E9A2D25D-0E23-4132-83B4-7EBAF0EA268D}">
            <xm:f>NOT(ISERROR(SEARCH($Q$12,AM802)))</xm:f>
            <xm:f>$Q$12</xm:f>
            <x14:dxf>
              <fill>
                <patternFill>
                  <bgColor theme="9"/>
                </patternFill>
              </fill>
            </x14:dxf>
          </x14:cfRule>
          <x14:cfRule type="containsText" priority="2867" operator="containsText" id="{6A112142-EBD2-46C0-87BD-76EE65A136E5}">
            <xm:f>NOT(ISERROR(SEARCH($Q$12,AM802)))</xm:f>
            <xm:f>$Q$12</xm:f>
            <x14:dxf>
              <fill>
                <patternFill>
                  <bgColor theme="9" tint="0.59996337778862885"/>
                </patternFill>
              </fill>
            </x14:dxf>
          </x14:cfRule>
          <x14:cfRule type="containsText" priority="2865" operator="containsText" id="{BE9382C2-90CC-4911-ABB7-E362488C477F}">
            <xm:f>NOT(ISERROR(SEARCH($Q$12,AM802)))</xm:f>
            <xm:f>$Q$12</xm:f>
            <x14:dxf>
              <fill>
                <patternFill>
                  <bgColor rgb="FFFFC000"/>
                </patternFill>
              </fill>
            </x14:dxf>
          </x14:cfRule>
          <x14:cfRule type="containsText" priority="2864" operator="containsText" id="{6C613890-C037-4B1B-8055-55CAE78FE5AF}">
            <xm:f>NOT(ISERROR(SEARCH($Q$12,AM802)))</xm:f>
            <xm:f>$Q$12</xm:f>
            <x14:dxf>
              <fill>
                <patternFill>
                  <bgColor rgb="FFFFFF00"/>
                </patternFill>
              </fill>
            </x14:dxf>
          </x14:cfRule>
          <x14:cfRule type="containsText" priority="2863" operator="containsText" id="{D1E4CA56-6625-4C61-8702-734EE467723B}">
            <xm:f>NOT(ISERROR(SEARCH($Q$12,AM802)))</xm:f>
            <xm:f>$Q$12</xm:f>
            <x14:dxf>
              <fill>
                <patternFill>
                  <bgColor rgb="FF00B050"/>
                </patternFill>
              </fill>
            </x14:dxf>
          </x14:cfRule>
          <x14:cfRule type="containsText" priority="2862" operator="containsText" id="{CBBE88B2-C805-48B6-B291-D180F777C24E}">
            <xm:f>NOT(ISERROR(SEARCH($Q$12,AM802)))</xm:f>
            <xm:f>$Q$12</xm:f>
            <x14:dxf>
              <fill>
                <patternFill>
                  <bgColor theme="9" tint="0.39994506668294322"/>
                </patternFill>
              </fill>
            </x14:dxf>
          </x14:cfRule>
          <x14:cfRule type="containsText" priority="2861" operator="containsText" id="{D57C2E9F-3724-42B3-9ED7-E873AECEA9FA}">
            <xm:f>NOT(ISERROR(SEARCH($Q$12,AM802)))</xm:f>
            <xm:f>$Q$12</xm:f>
            <x14:dxf>
              <fill>
                <patternFill>
                  <bgColor theme="9" tint="0.79998168889431442"/>
                </patternFill>
              </fill>
            </x14:dxf>
          </x14:cfRule>
          <xm:sqref>AM802:AN802</xm:sqref>
        </x14:conditionalFormatting>
        <x14:conditionalFormatting xmlns:xm="http://schemas.microsoft.com/office/excel/2006/main">
          <x14:cfRule type="containsText" priority="2143" operator="containsText" id="{8CA17846-C80E-493A-A123-BFDB1E5ED820}">
            <xm:f>NOT(ISERROR(SEARCH($Q$12,AM812)))</xm:f>
            <xm:f>$Q$12</xm:f>
            <x14:dxf>
              <fill>
                <patternFill>
                  <bgColor rgb="FFFF0000"/>
                </patternFill>
              </fill>
            </x14:dxf>
          </x14:cfRule>
          <x14:cfRule type="containsText" priority="2142" operator="containsText" id="{D63D44AA-E2CE-4771-B8F7-7BB97B73E9B0}">
            <xm:f>NOT(ISERROR(SEARCH($Q$12,AM812)))</xm:f>
            <xm:f>$Q$12</xm:f>
            <x14:dxf>
              <fill>
                <patternFill>
                  <bgColor rgb="FFFFC000"/>
                </patternFill>
              </fill>
            </x14:dxf>
          </x14:cfRule>
          <x14:cfRule type="containsText" priority="2141" operator="containsText" id="{2FC98899-7FD7-4E3A-8E1F-514C8E0CC6D6}">
            <xm:f>NOT(ISERROR(SEARCH($Q$12,AM812)))</xm:f>
            <xm:f>$Q$12</xm:f>
            <x14:dxf>
              <fill>
                <patternFill>
                  <bgColor rgb="FFFFFF00"/>
                </patternFill>
              </fill>
            </x14:dxf>
          </x14:cfRule>
          <x14:cfRule type="containsText" priority="2140" operator="containsText" id="{E75024F9-E1A3-47B6-ACD5-8A12267149CF}">
            <xm:f>NOT(ISERROR(SEARCH($Q$12,AM812)))</xm:f>
            <xm:f>$Q$12</xm:f>
            <x14:dxf>
              <fill>
                <patternFill>
                  <bgColor theme="9"/>
                </patternFill>
              </fill>
            </x14:dxf>
          </x14:cfRule>
          <x14:cfRule type="containsText" priority="2139" operator="containsText" id="{1A1881C3-5C58-4397-AE77-41958BF89B6B}">
            <xm:f>NOT(ISERROR(SEARCH($Q$12,AM812)))</xm:f>
            <xm:f>$Q$12</xm:f>
            <x14:dxf>
              <fill>
                <patternFill>
                  <bgColor theme="9" tint="0.59996337778862885"/>
                </patternFill>
              </fill>
            </x14:dxf>
          </x14:cfRule>
          <x14:cfRule type="containsText" priority="2138" operator="containsText" id="{A8020054-BBBE-43C5-A7AA-9625369E6F74}">
            <xm:f>NOT(ISERROR(SEARCH($Q$12,AM812)))</xm:f>
            <xm:f>$Q$12</xm:f>
            <x14:dxf>
              <fill>
                <patternFill>
                  <bgColor rgb="FFFF0000"/>
                </patternFill>
              </fill>
            </x14:dxf>
          </x14:cfRule>
          <x14:cfRule type="containsText" priority="2137" operator="containsText" id="{FB262EC1-E823-4D52-8081-972CB1F4BF4A}">
            <xm:f>NOT(ISERROR(SEARCH($Q$12,AM812)))</xm:f>
            <xm:f>$Q$12</xm:f>
            <x14:dxf>
              <fill>
                <patternFill>
                  <bgColor rgb="FFFFC000"/>
                </patternFill>
              </fill>
            </x14:dxf>
          </x14:cfRule>
          <x14:cfRule type="containsText" priority="2136" operator="containsText" id="{9E85DFC6-376F-4B7D-9D1E-CC2145CFEEDE}">
            <xm:f>NOT(ISERROR(SEARCH($Q$12,AM812)))</xm:f>
            <xm:f>$Q$12</xm:f>
            <x14:dxf>
              <fill>
                <patternFill>
                  <bgColor rgb="FFFFFF00"/>
                </patternFill>
              </fill>
            </x14:dxf>
          </x14:cfRule>
          <x14:cfRule type="containsText" priority="2135" operator="containsText" id="{C7FDFDA9-9E7B-4746-A766-359FF9DC2E83}">
            <xm:f>NOT(ISERROR(SEARCH($Q$12,AM812)))</xm:f>
            <xm:f>$Q$12</xm:f>
            <x14:dxf>
              <fill>
                <patternFill>
                  <bgColor rgb="FF00B050"/>
                </patternFill>
              </fill>
            </x14:dxf>
          </x14:cfRule>
          <x14:cfRule type="containsText" priority="2134" operator="containsText" id="{FB62CA49-81A4-4975-A439-8A388CF8BB8C}">
            <xm:f>NOT(ISERROR(SEARCH($Q$12,AM812)))</xm:f>
            <xm:f>$Q$12</xm:f>
            <x14:dxf>
              <fill>
                <patternFill>
                  <bgColor theme="9" tint="0.39994506668294322"/>
                </patternFill>
              </fill>
            </x14:dxf>
          </x14:cfRule>
          <x14:cfRule type="containsText" priority="2133" operator="containsText" id="{C93B91AB-CDD5-4721-BD62-5853841D1F51}">
            <xm:f>NOT(ISERROR(SEARCH($Q$12,AM812)))</xm:f>
            <xm:f>$Q$12</xm:f>
            <x14:dxf>
              <fill>
                <patternFill>
                  <bgColor theme="9" tint="0.79998168889431442"/>
                </patternFill>
              </fill>
            </x14:dxf>
          </x14:cfRule>
          <xm:sqref>AM812:AN812</xm:sqref>
        </x14:conditionalFormatting>
        <x14:conditionalFormatting xmlns:xm="http://schemas.microsoft.com/office/excel/2006/main">
          <x14:cfRule type="containsText" priority="2127" operator="containsText" id="{604E66DE-EEAC-493B-8DAA-BC83FF576243}">
            <xm:f>NOT(ISERROR(SEARCH($Q$12,AM822)))</xm:f>
            <xm:f>$Q$12</xm:f>
            <x14:dxf>
              <fill>
                <patternFill>
                  <bgColor rgb="FFFF0000"/>
                </patternFill>
              </fill>
            </x14:dxf>
          </x14:cfRule>
          <x14:cfRule type="containsText" priority="2126" operator="containsText" id="{178E4DB2-7403-4AA3-BC13-DAAA990D1917}">
            <xm:f>NOT(ISERROR(SEARCH($Q$12,AM822)))</xm:f>
            <xm:f>$Q$12</xm:f>
            <x14:dxf>
              <fill>
                <patternFill>
                  <bgColor rgb="FFFFC000"/>
                </patternFill>
              </fill>
            </x14:dxf>
          </x14:cfRule>
          <x14:cfRule type="containsText" priority="2125" operator="containsText" id="{0473FD0E-744B-4FBA-A416-99077A3DD8CF}">
            <xm:f>NOT(ISERROR(SEARCH($Q$12,AM822)))</xm:f>
            <xm:f>$Q$12</xm:f>
            <x14:dxf>
              <fill>
                <patternFill>
                  <bgColor rgb="FFFFFF00"/>
                </patternFill>
              </fill>
            </x14:dxf>
          </x14:cfRule>
          <x14:cfRule type="containsText" priority="2124" operator="containsText" id="{AC00B9D9-9BD7-4685-AEAA-619900514DED}">
            <xm:f>NOT(ISERROR(SEARCH($Q$12,AM822)))</xm:f>
            <xm:f>$Q$12</xm:f>
            <x14:dxf>
              <fill>
                <patternFill>
                  <bgColor theme="9"/>
                </patternFill>
              </fill>
            </x14:dxf>
          </x14:cfRule>
          <x14:cfRule type="containsText" priority="2123" operator="containsText" id="{63EFF14F-E17F-4B77-B6D1-BC439210F3B7}">
            <xm:f>NOT(ISERROR(SEARCH($Q$12,AM822)))</xm:f>
            <xm:f>$Q$12</xm:f>
            <x14:dxf>
              <fill>
                <patternFill>
                  <bgColor theme="9" tint="0.59996337778862885"/>
                </patternFill>
              </fill>
            </x14:dxf>
          </x14:cfRule>
          <x14:cfRule type="containsText" priority="2122" operator="containsText" id="{70EE78F3-9721-4A9A-82E8-B97FACF9212D}">
            <xm:f>NOT(ISERROR(SEARCH($Q$12,AM822)))</xm:f>
            <xm:f>$Q$12</xm:f>
            <x14:dxf>
              <fill>
                <patternFill>
                  <bgColor rgb="FFFF0000"/>
                </patternFill>
              </fill>
            </x14:dxf>
          </x14:cfRule>
          <x14:cfRule type="containsText" priority="2121" operator="containsText" id="{A9BBC14D-151A-4D59-B757-7C5E912FE0AE}">
            <xm:f>NOT(ISERROR(SEARCH($Q$12,AM822)))</xm:f>
            <xm:f>$Q$12</xm:f>
            <x14:dxf>
              <fill>
                <patternFill>
                  <bgColor rgb="FFFFC000"/>
                </patternFill>
              </fill>
            </x14:dxf>
          </x14:cfRule>
          <x14:cfRule type="containsText" priority="2120" operator="containsText" id="{8747541B-C6C1-4523-8958-88DB36266B51}">
            <xm:f>NOT(ISERROR(SEARCH($Q$12,AM822)))</xm:f>
            <xm:f>$Q$12</xm:f>
            <x14:dxf>
              <fill>
                <patternFill>
                  <bgColor rgb="FFFFFF00"/>
                </patternFill>
              </fill>
            </x14:dxf>
          </x14:cfRule>
          <x14:cfRule type="containsText" priority="2119" operator="containsText" id="{B8F04485-36DE-4CB6-9F5A-2C4B33AE812B}">
            <xm:f>NOT(ISERROR(SEARCH($Q$12,AM822)))</xm:f>
            <xm:f>$Q$12</xm:f>
            <x14:dxf>
              <fill>
                <patternFill>
                  <bgColor rgb="FF00B050"/>
                </patternFill>
              </fill>
            </x14:dxf>
          </x14:cfRule>
          <x14:cfRule type="containsText" priority="2118" operator="containsText" id="{94D1FED9-DF76-4FF2-BB28-7BA2402BA912}">
            <xm:f>NOT(ISERROR(SEARCH($Q$12,AM822)))</xm:f>
            <xm:f>$Q$12</xm:f>
            <x14:dxf>
              <fill>
                <patternFill>
                  <bgColor theme="9" tint="0.39994506668294322"/>
                </patternFill>
              </fill>
            </x14:dxf>
          </x14:cfRule>
          <x14:cfRule type="containsText" priority="2117" operator="containsText" id="{B75B0B46-0519-426B-915B-71C41EC1AC00}">
            <xm:f>NOT(ISERROR(SEARCH($Q$12,AM822)))</xm:f>
            <xm:f>$Q$12</xm:f>
            <x14:dxf>
              <fill>
                <patternFill>
                  <bgColor theme="9" tint="0.79998168889431442"/>
                </patternFill>
              </fill>
            </x14:dxf>
          </x14:cfRule>
          <xm:sqref>AM822:AN822</xm:sqref>
        </x14:conditionalFormatting>
        <x14:conditionalFormatting xmlns:xm="http://schemas.microsoft.com/office/excel/2006/main">
          <x14:cfRule type="containsText" priority="2110" operator="containsText" id="{D7F67B09-6886-4551-AFE7-EBB850AA813E}">
            <xm:f>NOT(ISERROR(SEARCH($Q$12,AM832)))</xm:f>
            <xm:f>$Q$12</xm:f>
            <x14:dxf>
              <fill>
                <patternFill>
                  <bgColor rgb="FFFFC000"/>
                </patternFill>
              </fill>
            </x14:dxf>
          </x14:cfRule>
          <x14:cfRule type="containsText" priority="2109" operator="containsText" id="{694C94E2-5340-45C8-8ECC-ABB43CCCB39B}">
            <xm:f>NOT(ISERROR(SEARCH($Q$12,AM832)))</xm:f>
            <xm:f>$Q$12</xm:f>
            <x14:dxf>
              <fill>
                <patternFill>
                  <bgColor rgb="FFFFFF00"/>
                </patternFill>
              </fill>
            </x14:dxf>
          </x14:cfRule>
          <x14:cfRule type="containsText" priority="2108" operator="containsText" id="{7EA6C092-A0C1-442A-BCE4-21E3C5290EB9}">
            <xm:f>NOT(ISERROR(SEARCH($Q$12,AM832)))</xm:f>
            <xm:f>$Q$12</xm:f>
            <x14:dxf>
              <fill>
                <patternFill>
                  <bgColor theme="9"/>
                </patternFill>
              </fill>
            </x14:dxf>
          </x14:cfRule>
          <x14:cfRule type="containsText" priority="2107" operator="containsText" id="{8C3CCC7D-3807-43F0-8979-68112BBB2169}">
            <xm:f>NOT(ISERROR(SEARCH($Q$12,AM832)))</xm:f>
            <xm:f>$Q$12</xm:f>
            <x14:dxf>
              <fill>
                <patternFill>
                  <bgColor theme="9" tint="0.59996337778862885"/>
                </patternFill>
              </fill>
            </x14:dxf>
          </x14:cfRule>
          <x14:cfRule type="containsText" priority="2106" operator="containsText" id="{31F57EE9-9D17-4017-89F6-81AB5278BC09}">
            <xm:f>NOT(ISERROR(SEARCH($Q$12,AM832)))</xm:f>
            <xm:f>$Q$12</xm:f>
            <x14:dxf>
              <fill>
                <patternFill>
                  <bgColor rgb="FFFF0000"/>
                </patternFill>
              </fill>
            </x14:dxf>
          </x14:cfRule>
          <x14:cfRule type="containsText" priority="2105" operator="containsText" id="{BD114AB5-1753-4682-A81E-15C547488B94}">
            <xm:f>NOT(ISERROR(SEARCH($Q$12,AM832)))</xm:f>
            <xm:f>$Q$12</xm:f>
            <x14:dxf>
              <fill>
                <patternFill>
                  <bgColor rgb="FFFFC000"/>
                </patternFill>
              </fill>
            </x14:dxf>
          </x14:cfRule>
          <x14:cfRule type="containsText" priority="2103" operator="containsText" id="{984710DA-0A34-4775-8389-EB2B01EB4A85}">
            <xm:f>NOT(ISERROR(SEARCH($Q$12,AM832)))</xm:f>
            <xm:f>$Q$12</xm:f>
            <x14:dxf>
              <fill>
                <patternFill>
                  <bgColor rgb="FF00B050"/>
                </patternFill>
              </fill>
            </x14:dxf>
          </x14:cfRule>
          <x14:cfRule type="containsText" priority="2111" operator="containsText" id="{C0E43E18-A09A-4911-9300-74F03791AA7F}">
            <xm:f>NOT(ISERROR(SEARCH($Q$12,AM832)))</xm:f>
            <xm:f>$Q$12</xm:f>
            <x14:dxf>
              <fill>
                <patternFill>
                  <bgColor rgb="FFFF0000"/>
                </patternFill>
              </fill>
            </x14:dxf>
          </x14:cfRule>
          <x14:cfRule type="containsText" priority="2104" operator="containsText" id="{AECFF56F-7CE1-4101-9B99-789FF71DEA0F}">
            <xm:f>NOT(ISERROR(SEARCH($Q$12,AM832)))</xm:f>
            <xm:f>$Q$12</xm:f>
            <x14:dxf>
              <fill>
                <patternFill>
                  <bgColor rgb="FFFFFF00"/>
                </patternFill>
              </fill>
            </x14:dxf>
          </x14:cfRule>
          <x14:cfRule type="containsText" priority="2101" operator="containsText" id="{334E2D17-0766-4679-B8BE-CEB0DCAA3085}">
            <xm:f>NOT(ISERROR(SEARCH($Q$12,AM832)))</xm:f>
            <xm:f>$Q$12</xm:f>
            <x14:dxf>
              <fill>
                <patternFill>
                  <bgColor theme="9" tint="0.79998168889431442"/>
                </patternFill>
              </fill>
            </x14:dxf>
          </x14:cfRule>
          <x14:cfRule type="containsText" priority="2102" operator="containsText" id="{D269D5BD-7B00-4A64-9291-1F1FB84A6E03}">
            <xm:f>NOT(ISERROR(SEARCH($Q$12,AM832)))</xm:f>
            <xm:f>$Q$12</xm:f>
            <x14:dxf>
              <fill>
                <patternFill>
                  <bgColor theme="9" tint="0.39994506668294322"/>
                </patternFill>
              </fill>
            </x14:dxf>
          </x14:cfRule>
          <xm:sqref>AM832:AN832</xm:sqref>
        </x14:conditionalFormatting>
        <x14:conditionalFormatting xmlns:xm="http://schemas.microsoft.com/office/excel/2006/main">
          <x14:cfRule type="containsText" priority="2091" operator="containsText" id="{4D8B2DA3-2E17-40C1-97D6-9112B6063993}">
            <xm:f>NOT(ISERROR(SEARCH($Q$12,AM842)))</xm:f>
            <xm:f>$Q$12</xm:f>
            <x14:dxf>
              <fill>
                <patternFill>
                  <bgColor theme="9" tint="0.59996337778862885"/>
                </patternFill>
              </fill>
            </x14:dxf>
          </x14:cfRule>
          <x14:cfRule type="containsText" priority="2087" operator="containsText" id="{0F910247-55DB-460E-AED9-721652503FD7}">
            <xm:f>NOT(ISERROR(SEARCH($Q$12,AM842)))</xm:f>
            <xm:f>$Q$12</xm:f>
            <x14:dxf>
              <fill>
                <patternFill>
                  <bgColor rgb="FF00B050"/>
                </patternFill>
              </fill>
            </x14:dxf>
          </x14:cfRule>
          <x14:cfRule type="containsText" priority="2086" operator="containsText" id="{4373602C-35EB-4FB1-B5D6-0C833E080492}">
            <xm:f>NOT(ISERROR(SEARCH($Q$12,AM842)))</xm:f>
            <xm:f>$Q$12</xm:f>
            <x14:dxf>
              <fill>
                <patternFill>
                  <bgColor theme="9" tint="0.39994506668294322"/>
                </patternFill>
              </fill>
            </x14:dxf>
          </x14:cfRule>
          <x14:cfRule type="containsText" priority="2085" operator="containsText" id="{2B21610D-582A-48F9-BED0-6500DCDD1901}">
            <xm:f>NOT(ISERROR(SEARCH($Q$12,AM842)))</xm:f>
            <xm:f>$Q$12</xm:f>
            <x14:dxf>
              <fill>
                <patternFill>
                  <bgColor theme="9" tint="0.79998168889431442"/>
                </patternFill>
              </fill>
            </x14:dxf>
          </x14:cfRule>
          <x14:cfRule type="containsText" priority="2092" operator="containsText" id="{9AA0257E-F40F-4A51-930B-8F22C4724A81}">
            <xm:f>NOT(ISERROR(SEARCH($Q$12,AM842)))</xm:f>
            <xm:f>$Q$12</xm:f>
            <x14:dxf>
              <fill>
                <patternFill>
                  <bgColor theme="9"/>
                </patternFill>
              </fill>
            </x14:dxf>
          </x14:cfRule>
          <x14:cfRule type="containsText" priority="2090" operator="containsText" id="{D1D118E4-CDB1-420D-9566-609218002117}">
            <xm:f>NOT(ISERROR(SEARCH($Q$12,AM842)))</xm:f>
            <xm:f>$Q$12</xm:f>
            <x14:dxf>
              <fill>
                <patternFill>
                  <bgColor rgb="FFFF0000"/>
                </patternFill>
              </fill>
            </x14:dxf>
          </x14:cfRule>
          <x14:cfRule type="containsText" priority="2089" operator="containsText" id="{E2EDDE87-29A4-4627-9B7A-D3EDE7249302}">
            <xm:f>NOT(ISERROR(SEARCH($Q$12,AM842)))</xm:f>
            <xm:f>$Q$12</xm:f>
            <x14:dxf>
              <fill>
                <patternFill>
                  <bgColor rgb="FFFFC000"/>
                </patternFill>
              </fill>
            </x14:dxf>
          </x14:cfRule>
          <x14:cfRule type="containsText" priority="2088" operator="containsText" id="{749A13F7-A206-4F1C-A8A9-1817C8E01147}">
            <xm:f>NOT(ISERROR(SEARCH($Q$12,AM842)))</xm:f>
            <xm:f>$Q$12</xm:f>
            <x14:dxf>
              <fill>
                <patternFill>
                  <bgColor rgb="FFFFFF00"/>
                </patternFill>
              </fill>
            </x14:dxf>
          </x14:cfRule>
          <x14:cfRule type="containsText" priority="2094" operator="containsText" id="{448B481D-5907-404F-AC85-0F2D0195F47D}">
            <xm:f>NOT(ISERROR(SEARCH($Q$12,AM842)))</xm:f>
            <xm:f>$Q$12</xm:f>
            <x14:dxf>
              <fill>
                <patternFill>
                  <bgColor rgb="FFFFC000"/>
                </patternFill>
              </fill>
            </x14:dxf>
          </x14:cfRule>
          <x14:cfRule type="containsText" priority="2095" operator="containsText" id="{FE892878-A655-4AB9-87B8-0102931CBBCF}">
            <xm:f>NOT(ISERROR(SEARCH($Q$12,AM842)))</xm:f>
            <xm:f>$Q$12</xm:f>
            <x14:dxf>
              <fill>
                <patternFill>
                  <bgColor rgb="FFFF0000"/>
                </patternFill>
              </fill>
            </x14:dxf>
          </x14:cfRule>
          <x14:cfRule type="containsText" priority="2093" operator="containsText" id="{CD9E4EAC-20DB-422F-ACA7-04575356CC29}">
            <xm:f>NOT(ISERROR(SEARCH($Q$12,AM842)))</xm:f>
            <xm:f>$Q$12</xm:f>
            <x14:dxf>
              <fill>
                <patternFill>
                  <bgColor rgb="FFFFFF00"/>
                </patternFill>
              </fill>
            </x14:dxf>
          </x14:cfRule>
          <xm:sqref>AM842:AN842</xm:sqref>
        </x14:conditionalFormatting>
        <x14:conditionalFormatting xmlns:xm="http://schemas.microsoft.com/office/excel/2006/main">
          <x14:cfRule type="containsText" priority="2077" operator="containsText" id="{277C789C-834A-4C2A-A2A5-D945C37454B5}">
            <xm:f>NOT(ISERROR(SEARCH($Q$12,AM852)))</xm:f>
            <xm:f>$Q$12</xm:f>
            <x14:dxf>
              <fill>
                <patternFill>
                  <bgColor rgb="FFFFFF00"/>
                </patternFill>
              </fill>
            </x14:dxf>
          </x14:cfRule>
          <x14:cfRule type="containsText" priority="2075" operator="containsText" id="{0A986D87-C961-4E8F-AE11-F52C96CA5E27}">
            <xm:f>NOT(ISERROR(SEARCH($Q$12,AM852)))</xm:f>
            <xm:f>$Q$12</xm:f>
            <x14:dxf>
              <fill>
                <patternFill>
                  <bgColor theme="9" tint="0.59996337778862885"/>
                </patternFill>
              </fill>
            </x14:dxf>
          </x14:cfRule>
          <x14:cfRule type="containsText" priority="2074" operator="containsText" id="{DE5943B3-4CBD-4203-8328-1A617E424B8C}">
            <xm:f>NOT(ISERROR(SEARCH($Q$12,AM852)))</xm:f>
            <xm:f>$Q$12</xm:f>
            <x14:dxf>
              <fill>
                <patternFill>
                  <bgColor rgb="FFFF0000"/>
                </patternFill>
              </fill>
            </x14:dxf>
          </x14:cfRule>
          <x14:cfRule type="containsText" priority="2079" operator="containsText" id="{98EE8109-E14F-4D21-8838-2945C71582F2}">
            <xm:f>NOT(ISERROR(SEARCH($Q$12,AM852)))</xm:f>
            <xm:f>$Q$12</xm:f>
            <x14:dxf>
              <fill>
                <patternFill>
                  <bgColor rgb="FFFF0000"/>
                </patternFill>
              </fill>
            </x14:dxf>
          </x14:cfRule>
          <x14:cfRule type="containsText" priority="2070" operator="containsText" id="{140A4A84-DCE8-4F00-B67B-BF8ABD548BC4}">
            <xm:f>NOT(ISERROR(SEARCH($Q$12,AM852)))</xm:f>
            <xm:f>$Q$12</xm:f>
            <x14:dxf>
              <fill>
                <patternFill>
                  <bgColor theme="9" tint="0.39994506668294322"/>
                </patternFill>
              </fill>
            </x14:dxf>
          </x14:cfRule>
          <x14:cfRule type="containsText" priority="2071" operator="containsText" id="{D8DBD206-B868-4A2F-809B-9070A19402E6}">
            <xm:f>NOT(ISERROR(SEARCH($Q$12,AM852)))</xm:f>
            <xm:f>$Q$12</xm:f>
            <x14:dxf>
              <fill>
                <patternFill>
                  <bgColor rgb="FF00B050"/>
                </patternFill>
              </fill>
            </x14:dxf>
          </x14:cfRule>
          <x14:cfRule type="containsText" priority="2069" operator="containsText" id="{41E179ED-B178-451B-BDB2-C0C4428FCC4F}">
            <xm:f>NOT(ISERROR(SEARCH($Q$12,AM852)))</xm:f>
            <xm:f>$Q$12</xm:f>
            <x14:dxf>
              <fill>
                <patternFill>
                  <bgColor theme="9" tint="0.79998168889431442"/>
                </patternFill>
              </fill>
            </x14:dxf>
          </x14:cfRule>
          <x14:cfRule type="containsText" priority="2076" operator="containsText" id="{C8850177-0632-48B7-AC10-DE25809EC0D9}">
            <xm:f>NOT(ISERROR(SEARCH($Q$12,AM852)))</xm:f>
            <xm:f>$Q$12</xm:f>
            <x14:dxf>
              <fill>
                <patternFill>
                  <bgColor theme="9"/>
                </patternFill>
              </fill>
            </x14:dxf>
          </x14:cfRule>
          <x14:cfRule type="containsText" priority="2072" operator="containsText" id="{A5F50A6B-0A1F-4660-A13D-A376E5A9430D}">
            <xm:f>NOT(ISERROR(SEARCH($Q$12,AM852)))</xm:f>
            <xm:f>$Q$12</xm:f>
            <x14:dxf>
              <fill>
                <patternFill>
                  <bgColor rgb="FFFFFF00"/>
                </patternFill>
              </fill>
            </x14:dxf>
          </x14:cfRule>
          <x14:cfRule type="containsText" priority="2078" operator="containsText" id="{F6BAC12F-9342-4915-B687-9C2B6DF49CAC}">
            <xm:f>NOT(ISERROR(SEARCH($Q$12,AM852)))</xm:f>
            <xm:f>$Q$12</xm:f>
            <x14:dxf>
              <fill>
                <patternFill>
                  <bgColor rgb="FFFFC000"/>
                </patternFill>
              </fill>
            </x14:dxf>
          </x14:cfRule>
          <x14:cfRule type="containsText" priority="2073" operator="containsText" id="{A63222E7-AC1B-4FCB-BCA3-12534C65B6E8}">
            <xm:f>NOT(ISERROR(SEARCH($Q$12,AM852)))</xm:f>
            <xm:f>$Q$12</xm:f>
            <x14:dxf>
              <fill>
                <patternFill>
                  <bgColor rgb="FFFFC000"/>
                </patternFill>
              </fill>
            </x14:dxf>
          </x14:cfRule>
          <xm:sqref>AM852:AN852</xm:sqref>
        </x14:conditionalFormatting>
        <x14:conditionalFormatting xmlns:xm="http://schemas.microsoft.com/office/excel/2006/main">
          <x14:cfRule type="containsText" priority="2062" operator="containsText" id="{2D98DC84-5C1D-440D-94FB-4498361452F4}">
            <xm:f>NOT(ISERROR(SEARCH($Q$12,AM862)))</xm:f>
            <xm:f>$Q$12</xm:f>
            <x14:dxf>
              <fill>
                <patternFill>
                  <bgColor rgb="FFFFC000"/>
                </patternFill>
              </fill>
            </x14:dxf>
          </x14:cfRule>
          <x14:cfRule type="containsText" priority="2061" operator="containsText" id="{56165C5A-E1C1-40DE-B99D-44C39F1D944B}">
            <xm:f>NOT(ISERROR(SEARCH($Q$12,AM862)))</xm:f>
            <xm:f>$Q$12</xm:f>
            <x14:dxf>
              <fill>
                <patternFill>
                  <bgColor rgb="FFFFFF00"/>
                </patternFill>
              </fill>
            </x14:dxf>
          </x14:cfRule>
          <x14:cfRule type="containsText" priority="2060" operator="containsText" id="{69ECF703-3630-42DC-8F0E-9B08482621BE}">
            <xm:f>NOT(ISERROR(SEARCH($Q$12,AM862)))</xm:f>
            <xm:f>$Q$12</xm:f>
            <x14:dxf>
              <fill>
                <patternFill>
                  <bgColor theme="9"/>
                </patternFill>
              </fill>
            </x14:dxf>
          </x14:cfRule>
          <x14:cfRule type="containsText" priority="2059" operator="containsText" id="{BB5AD347-6F4C-4906-974A-55ACA2C0C260}">
            <xm:f>NOT(ISERROR(SEARCH($Q$12,AM862)))</xm:f>
            <xm:f>$Q$12</xm:f>
            <x14:dxf>
              <fill>
                <patternFill>
                  <bgColor theme="9" tint="0.59996337778862885"/>
                </patternFill>
              </fill>
            </x14:dxf>
          </x14:cfRule>
          <x14:cfRule type="containsText" priority="2058" operator="containsText" id="{DDBF0CE5-73CB-49D7-A2B9-259CF45C55CB}">
            <xm:f>NOT(ISERROR(SEARCH($Q$12,AM862)))</xm:f>
            <xm:f>$Q$12</xm:f>
            <x14:dxf>
              <fill>
                <patternFill>
                  <bgColor rgb="FFFF0000"/>
                </patternFill>
              </fill>
            </x14:dxf>
          </x14:cfRule>
          <x14:cfRule type="containsText" priority="2057" operator="containsText" id="{1FD58A4B-09BD-44E8-8EC2-5F7C49A6F1E3}">
            <xm:f>NOT(ISERROR(SEARCH($Q$12,AM862)))</xm:f>
            <xm:f>$Q$12</xm:f>
            <x14:dxf>
              <fill>
                <patternFill>
                  <bgColor rgb="FFFFC000"/>
                </patternFill>
              </fill>
            </x14:dxf>
          </x14:cfRule>
          <x14:cfRule type="containsText" priority="2056" operator="containsText" id="{0FF19C32-6B5E-4D02-85A3-AFA236653BFC}">
            <xm:f>NOT(ISERROR(SEARCH($Q$12,AM862)))</xm:f>
            <xm:f>$Q$12</xm:f>
            <x14:dxf>
              <fill>
                <patternFill>
                  <bgColor rgb="FFFFFF00"/>
                </patternFill>
              </fill>
            </x14:dxf>
          </x14:cfRule>
          <x14:cfRule type="containsText" priority="2055" operator="containsText" id="{B27AA673-9A1C-4FFF-BA81-65A3F451CF8A}">
            <xm:f>NOT(ISERROR(SEARCH($Q$12,AM862)))</xm:f>
            <xm:f>$Q$12</xm:f>
            <x14:dxf>
              <fill>
                <patternFill>
                  <bgColor rgb="FF00B050"/>
                </patternFill>
              </fill>
            </x14:dxf>
          </x14:cfRule>
          <x14:cfRule type="containsText" priority="2054" operator="containsText" id="{16432C35-78CF-4E6A-828C-62915D9B2EEE}">
            <xm:f>NOT(ISERROR(SEARCH($Q$12,AM862)))</xm:f>
            <xm:f>$Q$12</xm:f>
            <x14:dxf>
              <fill>
                <patternFill>
                  <bgColor theme="9" tint="0.39994506668294322"/>
                </patternFill>
              </fill>
            </x14:dxf>
          </x14:cfRule>
          <x14:cfRule type="containsText" priority="2053" operator="containsText" id="{DE25FBED-0C88-4F81-B709-662EBC0B009C}">
            <xm:f>NOT(ISERROR(SEARCH($Q$12,AM862)))</xm:f>
            <xm:f>$Q$12</xm:f>
            <x14:dxf>
              <fill>
                <patternFill>
                  <bgColor theme="9" tint="0.79998168889431442"/>
                </patternFill>
              </fill>
            </x14:dxf>
          </x14:cfRule>
          <x14:cfRule type="containsText" priority="2063" operator="containsText" id="{58B0BE8C-C0CA-45A0-B329-07DFDCA1CCAE}">
            <xm:f>NOT(ISERROR(SEARCH($Q$12,AM862)))</xm:f>
            <xm:f>$Q$12</xm:f>
            <x14:dxf>
              <fill>
                <patternFill>
                  <bgColor rgb="FFFF0000"/>
                </patternFill>
              </fill>
            </x14:dxf>
          </x14:cfRule>
          <xm:sqref>AM862:AN862</xm:sqref>
        </x14:conditionalFormatting>
        <x14:conditionalFormatting xmlns:xm="http://schemas.microsoft.com/office/excel/2006/main">
          <x14:cfRule type="containsText" priority="2047" operator="containsText" id="{6FDACE3D-FA8B-4E75-BB1F-13F08459AFD8}">
            <xm:f>NOT(ISERROR(SEARCH($Q$12,AM872)))</xm:f>
            <xm:f>$Q$12</xm:f>
            <x14:dxf>
              <fill>
                <patternFill>
                  <bgColor rgb="FFFF0000"/>
                </patternFill>
              </fill>
            </x14:dxf>
          </x14:cfRule>
          <x14:cfRule type="containsText" priority="2046" operator="containsText" id="{B55027EA-3294-4EE5-B19B-925BD0189385}">
            <xm:f>NOT(ISERROR(SEARCH($Q$12,AM872)))</xm:f>
            <xm:f>$Q$12</xm:f>
            <x14:dxf>
              <fill>
                <patternFill>
                  <bgColor rgb="FFFFC000"/>
                </patternFill>
              </fill>
            </x14:dxf>
          </x14:cfRule>
          <x14:cfRule type="containsText" priority="2045" operator="containsText" id="{CB2927D4-E3B1-42D9-A26F-63DD81487327}">
            <xm:f>NOT(ISERROR(SEARCH($Q$12,AM872)))</xm:f>
            <xm:f>$Q$12</xm:f>
            <x14:dxf>
              <fill>
                <patternFill>
                  <bgColor rgb="FFFFFF00"/>
                </patternFill>
              </fill>
            </x14:dxf>
          </x14:cfRule>
          <x14:cfRule type="containsText" priority="2044" operator="containsText" id="{5D407C90-900C-4A6F-9171-29B367F20115}">
            <xm:f>NOT(ISERROR(SEARCH($Q$12,AM872)))</xm:f>
            <xm:f>$Q$12</xm:f>
            <x14:dxf>
              <fill>
                <patternFill>
                  <bgColor theme="9"/>
                </patternFill>
              </fill>
            </x14:dxf>
          </x14:cfRule>
          <x14:cfRule type="containsText" priority="2043" operator="containsText" id="{ABAC4D37-9195-4EAE-88F8-FD91868B2EB1}">
            <xm:f>NOT(ISERROR(SEARCH($Q$12,AM872)))</xm:f>
            <xm:f>$Q$12</xm:f>
            <x14:dxf>
              <fill>
                <patternFill>
                  <bgColor theme="9" tint="0.59996337778862885"/>
                </patternFill>
              </fill>
            </x14:dxf>
          </x14:cfRule>
          <x14:cfRule type="containsText" priority="2042" operator="containsText" id="{6D82DBF4-7F7E-42B6-BA72-D3F91C6988B7}">
            <xm:f>NOT(ISERROR(SEARCH($Q$12,AM872)))</xm:f>
            <xm:f>$Q$12</xm:f>
            <x14:dxf>
              <fill>
                <patternFill>
                  <bgColor rgb="FFFF0000"/>
                </patternFill>
              </fill>
            </x14:dxf>
          </x14:cfRule>
          <x14:cfRule type="containsText" priority="2040" operator="containsText" id="{C334C8D7-2723-4041-9169-633874373F21}">
            <xm:f>NOT(ISERROR(SEARCH($Q$12,AM872)))</xm:f>
            <xm:f>$Q$12</xm:f>
            <x14:dxf>
              <fill>
                <patternFill>
                  <bgColor rgb="FFFFFF00"/>
                </patternFill>
              </fill>
            </x14:dxf>
          </x14:cfRule>
          <x14:cfRule type="containsText" priority="2039" operator="containsText" id="{1A72AECA-2689-4009-9538-B16135A65A5B}">
            <xm:f>NOT(ISERROR(SEARCH($Q$12,AM872)))</xm:f>
            <xm:f>$Q$12</xm:f>
            <x14:dxf>
              <fill>
                <patternFill>
                  <bgColor rgb="FF00B050"/>
                </patternFill>
              </fill>
            </x14:dxf>
          </x14:cfRule>
          <x14:cfRule type="containsText" priority="2038" operator="containsText" id="{F853F03B-3C7D-4CFE-9AD6-EC85A03FECCD}">
            <xm:f>NOT(ISERROR(SEARCH($Q$12,AM872)))</xm:f>
            <xm:f>$Q$12</xm:f>
            <x14:dxf>
              <fill>
                <patternFill>
                  <bgColor theme="9" tint="0.39994506668294322"/>
                </patternFill>
              </fill>
            </x14:dxf>
          </x14:cfRule>
          <x14:cfRule type="containsText" priority="2041" operator="containsText" id="{308C8EAA-C7D1-4DF2-96C4-DA55835D75AF}">
            <xm:f>NOT(ISERROR(SEARCH($Q$12,AM872)))</xm:f>
            <xm:f>$Q$12</xm:f>
            <x14:dxf>
              <fill>
                <patternFill>
                  <bgColor rgb="FFFFC000"/>
                </patternFill>
              </fill>
            </x14:dxf>
          </x14:cfRule>
          <x14:cfRule type="containsText" priority="2037" operator="containsText" id="{562143D0-88CC-42AE-8CD8-F18EB22B500E}">
            <xm:f>NOT(ISERROR(SEARCH($Q$12,AM872)))</xm:f>
            <xm:f>$Q$12</xm:f>
            <x14:dxf>
              <fill>
                <patternFill>
                  <bgColor theme="9" tint="0.79998168889431442"/>
                </patternFill>
              </fill>
            </x14:dxf>
          </x14:cfRule>
          <xm:sqref>AM872:AN872</xm:sqref>
        </x14:conditionalFormatting>
        <x14:conditionalFormatting xmlns:xm="http://schemas.microsoft.com/office/excel/2006/main">
          <x14:cfRule type="containsText" priority="1457" operator="containsText" id="{36EF7630-2EFA-447E-803E-BFC6C476A4FE}">
            <xm:f>NOT(ISERROR(SEARCH($Q$12,AM882)))</xm:f>
            <xm:f>$Q$12</xm:f>
            <x14:dxf>
              <fill>
                <patternFill>
                  <bgColor theme="9" tint="0.79998168889431442"/>
                </patternFill>
              </fill>
            </x14:dxf>
          </x14:cfRule>
          <x14:cfRule type="containsText" priority="1465" operator="containsText" id="{2BA14A50-DE9C-46EC-BBF4-7343EFABEA51}">
            <xm:f>NOT(ISERROR(SEARCH($Q$12,AM882)))</xm:f>
            <xm:f>$Q$12</xm:f>
            <x14:dxf>
              <fill>
                <patternFill>
                  <bgColor rgb="FFFFFF00"/>
                </patternFill>
              </fill>
            </x14:dxf>
          </x14:cfRule>
          <x14:cfRule type="containsText" priority="1467" operator="containsText" id="{DEFF7181-13FE-4A63-9FF1-F261DAE24BA8}">
            <xm:f>NOT(ISERROR(SEARCH($Q$12,AM882)))</xm:f>
            <xm:f>$Q$12</xm:f>
            <x14:dxf>
              <fill>
                <patternFill>
                  <bgColor rgb="FFFF0000"/>
                </patternFill>
              </fill>
            </x14:dxf>
          </x14:cfRule>
          <x14:cfRule type="containsText" priority="1466" operator="containsText" id="{D8D05B32-A47B-4128-8122-D056704A515F}">
            <xm:f>NOT(ISERROR(SEARCH($Q$12,AM882)))</xm:f>
            <xm:f>$Q$12</xm:f>
            <x14:dxf>
              <fill>
                <patternFill>
                  <bgColor rgb="FFFFC000"/>
                </patternFill>
              </fill>
            </x14:dxf>
          </x14:cfRule>
          <x14:cfRule type="containsText" priority="1464" operator="containsText" id="{1F2FD43B-81AF-4B3F-9BBA-B4B05F9BDDC7}">
            <xm:f>NOT(ISERROR(SEARCH($Q$12,AM882)))</xm:f>
            <xm:f>$Q$12</xm:f>
            <x14:dxf>
              <fill>
                <patternFill>
                  <bgColor theme="9"/>
                </patternFill>
              </fill>
            </x14:dxf>
          </x14:cfRule>
          <x14:cfRule type="containsText" priority="1463" operator="containsText" id="{BBF747B0-BFBC-4DAC-BDA0-01CFC6C302BA}">
            <xm:f>NOT(ISERROR(SEARCH($Q$12,AM882)))</xm:f>
            <xm:f>$Q$12</xm:f>
            <x14:dxf>
              <fill>
                <patternFill>
                  <bgColor theme="9" tint="0.59996337778862885"/>
                </patternFill>
              </fill>
            </x14:dxf>
          </x14:cfRule>
          <x14:cfRule type="containsText" priority="1462" operator="containsText" id="{7C8E418A-89EF-42C6-9B9F-DAA568AEBFD8}">
            <xm:f>NOT(ISERROR(SEARCH($Q$12,AM882)))</xm:f>
            <xm:f>$Q$12</xm:f>
            <x14:dxf>
              <fill>
                <patternFill>
                  <bgColor rgb="FFFF0000"/>
                </patternFill>
              </fill>
            </x14:dxf>
          </x14:cfRule>
          <x14:cfRule type="containsText" priority="1461" operator="containsText" id="{344EE473-BB9B-4445-92EB-53405CF968B4}">
            <xm:f>NOT(ISERROR(SEARCH($Q$12,AM882)))</xm:f>
            <xm:f>$Q$12</xm:f>
            <x14:dxf>
              <fill>
                <patternFill>
                  <bgColor rgb="FFFFC000"/>
                </patternFill>
              </fill>
            </x14:dxf>
          </x14:cfRule>
          <x14:cfRule type="containsText" priority="1460" operator="containsText" id="{496385A3-DE91-48F6-BF53-CBBA02A1BBB6}">
            <xm:f>NOT(ISERROR(SEARCH($Q$12,AM882)))</xm:f>
            <xm:f>$Q$12</xm:f>
            <x14:dxf>
              <fill>
                <patternFill>
                  <bgColor rgb="FFFFFF00"/>
                </patternFill>
              </fill>
            </x14:dxf>
          </x14:cfRule>
          <x14:cfRule type="containsText" priority="1459" operator="containsText" id="{857A5896-43B6-4848-8C62-9C5E81F4D010}">
            <xm:f>NOT(ISERROR(SEARCH($Q$12,AM882)))</xm:f>
            <xm:f>$Q$12</xm:f>
            <x14:dxf>
              <fill>
                <patternFill>
                  <bgColor rgb="FF00B050"/>
                </patternFill>
              </fill>
            </x14:dxf>
          </x14:cfRule>
          <x14:cfRule type="containsText" priority="1458" operator="containsText" id="{082FEC49-BA82-42ED-A6CB-1DAEB55CB978}">
            <xm:f>NOT(ISERROR(SEARCH($Q$12,AM882)))</xm:f>
            <xm:f>$Q$12</xm:f>
            <x14:dxf>
              <fill>
                <patternFill>
                  <bgColor theme="9" tint="0.39994506668294322"/>
                </patternFill>
              </fill>
            </x14:dxf>
          </x14:cfRule>
          <xm:sqref>AM882:AN882</xm:sqref>
        </x14:conditionalFormatting>
        <x14:conditionalFormatting xmlns:xm="http://schemas.microsoft.com/office/excel/2006/main">
          <x14:cfRule type="containsText" priority="1445" operator="containsText" id="{4E5E5A2E-56B3-457E-B3B1-1521298D2DA2}">
            <xm:f>NOT(ISERROR(SEARCH($Q$12,AM892)))</xm:f>
            <xm:f>$Q$12</xm:f>
            <x14:dxf>
              <fill>
                <patternFill>
                  <bgColor rgb="FFFFC000"/>
                </patternFill>
              </fill>
            </x14:dxf>
          </x14:cfRule>
          <x14:cfRule type="containsText" priority="1444" operator="containsText" id="{99B09E9A-6C99-4ED3-A840-4EBEB3C4006F}">
            <xm:f>NOT(ISERROR(SEARCH($Q$12,AM892)))</xm:f>
            <xm:f>$Q$12</xm:f>
            <x14:dxf>
              <fill>
                <patternFill>
                  <bgColor rgb="FFFFFF00"/>
                </patternFill>
              </fill>
            </x14:dxf>
          </x14:cfRule>
          <x14:cfRule type="containsText" priority="1448" operator="containsText" id="{F831FF13-C238-43A6-9012-39CA084BD3BF}">
            <xm:f>NOT(ISERROR(SEARCH($Q$12,AM892)))</xm:f>
            <xm:f>$Q$12</xm:f>
            <x14:dxf>
              <fill>
                <patternFill>
                  <bgColor theme="9"/>
                </patternFill>
              </fill>
            </x14:dxf>
          </x14:cfRule>
          <x14:cfRule type="containsText" priority="1442" operator="containsText" id="{CCB9B718-618D-457F-A5FC-CAD8A783A9AD}">
            <xm:f>NOT(ISERROR(SEARCH($Q$12,AM892)))</xm:f>
            <xm:f>$Q$12</xm:f>
            <x14:dxf>
              <fill>
                <patternFill>
                  <bgColor theme="9" tint="0.39994506668294322"/>
                </patternFill>
              </fill>
            </x14:dxf>
          </x14:cfRule>
          <x14:cfRule type="containsText" priority="1441" operator="containsText" id="{CA239068-FB71-49FE-A515-934BCB8C6BD6}">
            <xm:f>NOT(ISERROR(SEARCH($Q$12,AM892)))</xm:f>
            <xm:f>$Q$12</xm:f>
            <x14:dxf>
              <fill>
                <patternFill>
                  <bgColor theme="9" tint="0.79998168889431442"/>
                </patternFill>
              </fill>
            </x14:dxf>
          </x14:cfRule>
          <x14:cfRule type="containsText" priority="1450" operator="containsText" id="{69D2D980-13EF-4013-ABD8-2E8A8DC60A61}">
            <xm:f>NOT(ISERROR(SEARCH($Q$12,AM892)))</xm:f>
            <xm:f>$Q$12</xm:f>
            <x14:dxf>
              <fill>
                <patternFill>
                  <bgColor rgb="FFFFC000"/>
                </patternFill>
              </fill>
            </x14:dxf>
          </x14:cfRule>
          <x14:cfRule type="containsText" priority="1449" operator="containsText" id="{F1E4BA41-3C5B-49EF-B62C-2C881BEB9618}">
            <xm:f>NOT(ISERROR(SEARCH($Q$12,AM892)))</xm:f>
            <xm:f>$Q$12</xm:f>
            <x14:dxf>
              <fill>
                <patternFill>
                  <bgColor rgb="FFFFFF00"/>
                </patternFill>
              </fill>
            </x14:dxf>
          </x14:cfRule>
          <x14:cfRule type="containsText" priority="1447" operator="containsText" id="{07AFC3CE-AC63-4D92-A24C-6DE827492591}">
            <xm:f>NOT(ISERROR(SEARCH($Q$12,AM892)))</xm:f>
            <xm:f>$Q$12</xm:f>
            <x14:dxf>
              <fill>
                <patternFill>
                  <bgColor theme="9" tint="0.59996337778862885"/>
                </patternFill>
              </fill>
            </x14:dxf>
          </x14:cfRule>
          <x14:cfRule type="containsText" priority="1443" operator="containsText" id="{8D98D4F1-F805-4F8C-B687-6CD8AFDB43F8}">
            <xm:f>NOT(ISERROR(SEARCH($Q$12,AM892)))</xm:f>
            <xm:f>$Q$12</xm:f>
            <x14:dxf>
              <fill>
                <patternFill>
                  <bgColor rgb="FF00B050"/>
                </patternFill>
              </fill>
            </x14:dxf>
          </x14:cfRule>
          <x14:cfRule type="containsText" priority="1446" operator="containsText" id="{DBF49DDC-7483-40B6-B8DD-B12643A5AED9}">
            <xm:f>NOT(ISERROR(SEARCH($Q$12,AM892)))</xm:f>
            <xm:f>$Q$12</xm:f>
            <x14:dxf>
              <fill>
                <patternFill>
                  <bgColor rgb="FFFF0000"/>
                </patternFill>
              </fill>
            </x14:dxf>
          </x14:cfRule>
          <x14:cfRule type="containsText" priority="1451" operator="containsText" id="{F3C9BB63-FF8B-41D1-BA1D-B580C82FB753}">
            <xm:f>NOT(ISERROR(SEARCH($Q$12,AM892)))</xm:f>
            <xm:f>$Q$12</xm:f>
            <x14:dxf>
              <fill>
                <patternFill>
                  <bgColor rgb="FFFF0000"/>
                </patternFill>
              </fill>
            </x14:dxf>
          </x14:cfRule>
          <xm:sqref>AM892:AN892</xm:sqref>
        </x14:conditionalFormatting>
        <x14:conditionalFormatting xmlns:xm="http://schemas.microsoft.com/office/excel/2006/main">
          <x14:cfRule type="containsText" priority="1432" operator="containsText" id="{D6A4C8C2-F69D-48F2-BC43-FDDADCAAACE1}">
            <xm:f>NOT(ISERROR(SEARCH($Q$12,AM902)))</xm:f>
            <xm:f>$Q$12</xm:f>
            <x14:dxf>
              <fill>
                <patternFill>
                  <bgColor theme="9"/>
                </patternFill>
              </fill>
            </x14:dxf>
          </x14:cfRule>
          <x14:cfRule type="containsText" priority="1431" operator="containsText" id="{B3398E69-5C6E-43E4-80C4-9257831F31DA}">
            <xm:f>NOT(ISERROR(SEARCH($Q$12,AM902)))</xm:f>
            <xm:f>$Q$12</xm:f>
            <x14:dxf>
              <fill>
                <patternFill>
                  <bgColor theme="9" tint="0.59996337778862885"/>
                </patternFill>
              </fill>
            </x14:dxf>
          </x14:cfRule>
          <x14:cfRule type="containsText" priority="1430" operator="containsText" id="{15D5AF33-F033-45A1-B465-1FCA28D93022}">
            <xm:f>NOT(ISERROR(SEARCH($Q$12,AM902)))</xm:f>
            <xm:f>$Q$12</xm:f>
            <x14:dxf>
              <fill>
                <patternFill>
                  <bgColor rgb="FFFF0000"/>
                </patternFill>
              </fill>
            </x14:dxf>
          </x14:cfRule>
          <x14:cfRule type="containsText" priority="1429" operator="containsText" id="{ACF2AC71-46B9-410B-B936-3BB9C8BDDBB7}">
            <xm:f>NOT(ISERROR(SEARCH($Q$12,AM902)))</xm:f>
            <xm:f>$Q$12</xm:f>
            <x14:dxf>
              <fill>
                <patternFill>
                  <bgColor rgb="FFFFC000"/>
                </patternFill>
              </fill>
            </x14:dxf>
          </x14:cfRule>
          <x14:cfRule type="containsText" priority="1428" operator="containsText" id="{E4B539B2-5B87-4526-AB38-B674B745F278}">
            <xm:f>NOT(ISERROR(SEARCH($Q$12,AM902)))</xm:f>
            <xm:f>$Q$12</xm:f>
            <x14:dxf>
              <fill>
                <patternFill>
                  <bgColor rgb="FFFFFF00"/>
                </patternFill>
              </fill>
            </x14:dxf>
          </x14:cfRule>
          <x14:cfRule type="containsText" priority="1427" operator="containsText" id="{9200FC43-E359-4F6D-A0CA-DC8821E0BE27}">
            <xm:f>NOT(ISERROR(SEARCH($Q$12,AM902)))</xm:f>
            <xm:f>$Q$12</xm:f>
            <x14:dxf>
              <fill>
                <patternFill>
                  <bgColor rgb="FF00B050"/>
                </patternFill>
              </fill>
            </x14:dxf>
          </x14:cfRule>
          <x14:cfRule type="containsText" priority="1426" operator="containsText" id="{1F8CE782-84B5-47AC-930A-B1504944E13E}">
            <xm:f>NOT(ISERROR(SEARCH($Q$12,AM902)))</xm:f>
            <xm:f>$Q$12</xm:f>
            <x14:dxf>
              <fill>
                <patternFill>
                  <bgColor theme="9" tint="0.39994506668294322"/>
                </patternFill>
              </fill>
            </x14:dxf>
          </x14:cfRule>
          <x14:cfRule type="containsText" priority="1425" operator="containsText" id="{3D887E3B-0E5A-485F-BA8B-ADB8183D7ADA}">
            <xm:f>NOT(ISERROR(SEARCH($Q$12,AM902)))</xm:f>
            <xm:f>$Q$12</xm:f>
            <x14:dxf>
              <fill>
                <patternFill>
                  <bgColor theme="9" tint="0.79998168889431442"/>
                </patternFill>
              </fill>
            </x14:dxf>
          </x14:cfRule>
          <x14:cfRule type="containsText" priority="1435" operator="containsText" id="{9A0ACAD9-5954-4E3B-9F4B-CA9FE1A184C8}">
            <xm:f>NOT(ISERROR(SEARCH($Q$12,AM902)))</xm:f>
            <xm:f>$Q$12</xm:f>
            <x14:dxf>
              <fill>
                <patternFill>
                  <bgColor rgb="FFFF0000"/>
                </patternFill>
              </fill>
            </x14:dxf>
          </x14:cfRule>
          <x14:cfRule type="containsText" priority="1434" operator="containsText" id="{2728865A-B9C1-4630-B962-B6AD4C03ED62}">
            <xm:f>NOT(ISERROR(SEARCH($Q$12,AM902)))</xm:f>
            <xm:f>$Q$12</xm:f>
            <x14:dxf>
              <fill>
                <patternFill>
                  <bgColor rgb="FFFFC000"/>
                </patternFill>
              </fill>
            </x14:dxf>
          </x14:cfRule>
          <x14:cfRule type="containsText" priority="1433" operator="containsText" id="{A4FAF32C-F455-48A5-86E8-44EA3AAE041D}">
            <xm:f>NOT(ISERROR(SEARCH($Q$12,AM902)))</xm:f>
            <xm:f>$Q$12</xm:f>
            <x14:dxf>
              <fill>
                <patternFill>
                  <bgColor rgb="FFFFFF00"/>
                </patternFill>
              </fill>
            </x14:dxf>
          </x14:cfRule>
          <xm:sqref>AM902:AN902</xm:sqref>
        </x14:conditionalFormatting>
        <x14:conditionalFormatting xmlns:xm="http://schemas.microsoft.com/office/excel/2006/main">
          <x14:cfRule type="containsText" priority="1413" operator="containsText" id="{0DE0E041-480F-4D65-B647-9C781115B1AF}">
            <xm:f>NOT(ISERROR(SEARCH($Q$12,AM912)))</xm:f>
            <xm:f>$Q$12</xm:f>
            <x14:dxf>
              <fill>
                <patternFill>
                  <bgColor rgb="FFFFC000"/>
                </patternFill>
              </fill>
            </x14:dxf>
          </x14:cfRule>
          <x14:cfRule type="containsText" priority="1414" operator="containsText" id="{B7D99064-3FA6-4F12-B043-B5BD32AD6FAF}">
            <xm:f>NOT(ISERROR(SEARCH($Q$12,AM912)))</xm:f>
            <xm:f>$Q$12</xm:f>
            <x14:dxf>
              <fill>
                <patternFill>
                  <bgColor rgb="FFFF0000"/>
                </patternFill>
              </fill>
            </x14:dxf>
          </x14:cfRule>
          <x14:cfRule type="containsText" priority="1415" operator="containsText" id="{69A35D47-973A-47FA-BB63-2977576AD7E6}">
            <xm:f>NOT(ISERROR(SEARCH($Q$12,AM912)))</xm:f>
            <xm:f>$Q$12</xm:f>
            <x14:dxf>
              <fill>
                <patternFill>
                  <bgColor theme="9" tint="0.59996337778862885"/>
                </patternFill>
              </fill>
            </x14:dxf>
          </x14:cfRule>
          <x14:cfRule type="containsText" priority="1416" operator="containsText" id="{477B36EA-C662-4E0B-A627-5E274438CD76}">
            <xm:f>NOT(ISERROR(SEARCH($Q$12,AM912)))</xm:f>
            <xm:f>$Q$12</xm:f>
            <x14:dxf>
              <fill>
                <patternFill>
                  <bgColor theme="9"/>
                </patternFill>
              </fill>
            </x14:dxf>
          </x14:cfRule>
          <x14:cfRule type="containsText" priority="1417" operator="containsText" id="{0B29D9FE-8D8D-43AA-ADD5-7D47B58B7F25}">
            <xm:f>NOT(ISERROR(SEARCH($Q$12,AM912)))</xm:f>
            <xm:f>$Q$12</xm:f>
            <x14:dxf>
              <fill>
                <patternFill>
                  <bgColor rgb="FFFFFF00"/>
                </patternFill>
              </fill>
            </x14:dxf>
          </x14:cfRule>
          <x14:cfRule type="containsText" priority="1418" operator="containsText" id="{2A878AE2-D7A0-4475-A6C7-C8F5D3F97D05}">
            <xm:f>NOT(ISERROR(SEARCH($Q$12,AM912)))</xm:f>
            <xm:f>$Q$12</xm:f>
            <x14:dxf>
              <fill>
                <patternFill>
                  <bgColor rgb="FFFFC000"/>
                </patternFill>
              </fill>
            </x14:dxf>
          </x14:cfRule>
          <x14:cfRule type="containsText" priority="1412" operator="containsText" id="{794B24B4-32AC-4B72-8F16-E055B21B7678}">
            <xm:f>NOT(ISERROR(SEARCH($Q$12,AM912)))</xm:f>
            <xm:f>$Q$12</xm:f>
            <x14:dxf>
              <fill>
                <patternFill>
                  <bgColor rgb="FFFFFF00"/>
                </patternFill>
              </fill>
            </x14:dxf>
          </x14:cfRule>
          <x14:cfRule type="containsText" priority="1419" operator="containsText" id="{F17E10DB-8521-4A25-9B2D-FBCF7834AA91}">
            <xm:f>NOT(ISERROR(SEARCH($Q$12,AM912)))</xm:f>
            <xm:f>$Q$12</xm:f>
            <x14:dxf>
              <fill>
                <patternFill>
                  <bgColor rgb="FFFF0000"/>
                </patternFill>
              </fill>
            </x14:dxf>
          </x14:cfRule>
          <x14:cfRule type="containsText" priority="1411" operator="containsText" id="{3730B17D-34F7-47FC-99ED-89F6C10A9E80}">
            <xm:f>NOT(ISERROR(SEARCH($Q$12,AM912)))</xm:f>
            <xm:f>$Q$12</xm:f>
            <x14:dxf>
              <fill>
                <patternFill>
                  <bgColor rgb="FF00B050"/>
                </patternFill>
              </fill>
            </x14:dxf>
          </x14:cfRule>
          <x14:cfRule type="containsText" priority="1409" operator="containsText" id="{51044496-DFF2-4863-9242-49D65366C2CD}">
            <xm:f>NOT(ISERROR(SEARCH($Q$12,AM912)))</xm:f>
            <xm:f>$Q$12</xm:f>
            <x14:dxf>
              <fill>
                <patternFill>
                  <bgColor theme="9" tint="0.79998168889431442"/>
                </patternFill>
              </fill>
            </x14:dxf>
          </x14:cfRule>
          <x14:cfRule type="containsText" priority="1410" operator="containsText" id="{5005701D-9BC5-41D4-A1E6-DDF75EC08AB9}">
            <xm:f>NOT(ISERROR(SEARCH($Q$12,AM912)))</xm:f>
            <xm:f>$Q$12</xm:f>
            <x14:dxf>
              <fill>
                <patternFill>
                  <bgColor theme="9" tint="0.39994506668294322"/>
                </patternFill>
              </fill>
            </x14:dxf>
          </x14:cfRule>
          <xm:sqref>AM912:AN912</xm:sqref>
        </x14:conditionalFormatting>
        <x14:conditionalFormatting xmlns:xm="http://schemas.microsoft.com/office/excel/2006/main">
          <x14:cfRule type="containsText" priority="1393" operator="containsText" id="{73D0D660-7528-4C7F-BF57-2B4C3C84A82B}">
            <xm:f>NOT(ISERROR(SEARCH($Q$12,AM922)))</xm:f>
            <xm:f>$Q$12</xm:f>
            <x14:dxf>
              <fill>
                <patternFill>
                  <bgColor theme="9" tint="0.79998168889431442"/>
                </patternFill>
              </fill>
            </x14:dxf>
          </x14:cfRule>
          <x14:cfRule type="containsText" priority="1401" operator="containsText" id="{03446B4E-A37E-48D2-8DEF-875D567BED85}">
            <xm:f>NOT(ISERROR(SEARCH($Q$12,AM922)))</xm:f>
            <xm:f>$Q$12</xm:f>
            <x14:dxf>
              <fill>
                <patternFill>
                  <bgColor rgb="FFFFFF00"/>
                </patternFill>
              </fill>
            </x14:dxf>
          </x14:cfRule>
          <x14:cfRule type="containsText" priority="1403" operator="containsText" id="{07F0202A-E952-4FE2-9E5D-35C5CAC5261D}">
            <xm:f>NOT(ISERROR(SEARCH($Q$12,AM922)))</xm:f>
            <xm:f>$Q$12</xm:f>
            <x14:dxf>
              <fill>
                <patternFill>
                  <bgColor rgb="FFFF0000"/>
                </patternFill>
              </fill>
            </x14:dxf>
          </x14:cfRule>
          <x14:cfRule type="containsText" priority="1402" operator="containsText" id="{44B2E82B-89D5-4FE4-9F9D-BCD5A3F435F4}">
            <xm:f>NOT(ISERROR(SEARCH($Q$12,AM922)))</xm:f>
            <xm:f>$Q$12</xm:f>
            <x14:dxf>
              <fill>
                <patternFill>
                  <bgColor rgb="FFFFC000"/>
                </patternFill>
              </fill>
            </x14:dxf>
          </x14:cfRule>
          <x14:cfRule type="containsText" priority="1396" operator="containsText" id="{319F6006-8258-4B79-BA3C-5CD8FB2D0B83}">
            <xm:f>NOT(ISERROR(SEARCH($Q$12,AM922)))</xm:f>
            <xm:f>$Q$12</xm:f>
            <x14:dxf>
              <fill>
                <patternFill>
                  <bgColor rgb="FFFFFF00"/>
                </patternFill>
              </fill>
            </x14:dxf>
          </x14:cfRule>
          <x14:cfRule type="containsText" priority="1400" operator="containsText" id="{AD9B500E-C2C3-4C15-A7B3-D8401E82DFCB}">
            <xm:f>NOT(ISERROR(SEARCH($Q$12,AM922)))</xm:f>
            <xm:f>$Q$12</xm:f>
            <x14:dxf>
              <fill>
                <patternFill>
                  <bgColor theme="9"/>
                </patternFill>
              </fill>
            </x14:dxf>
          </x14:cfRule>
          <x14:cfRule type="containsText" priority="1399" operator="containsText" id="{1650C4BA-EB2E-4A60-8077-676BA06EE86B}">
            <xm:f>NOT(ISERROR(SEARCH($Q$12,AM922)))</xm:f>
            <xm:f>$Q$12</xm:f>
            <x14:dxf>
              <fill>
                <patternFill>
                  <bgColor theme="9" tint="0.59996337778862885"/>
                </patternFill>
              </fill>
            </x14:dxf>
          </x14:cfRule>
          <x14:cfRule type="containsText" priority="1398" operator="containsText" id="{A2EAB733-87B6-4262-A9CE-5E1D50AAA511}">
            <xm:f>NOT(ISERROR(SEARCH($Q$12,AM922)))</xm:f>
            <xm:f>$Q$12</xm:f>
            <x14:dxf>
              <fill>
                <patternFill>
                  <bgColor rgb="FFFF0000"/>
                </patternFill>
              </fill>
            </x14:dxf>
          </x14:cfRule>
          <x14:cfRule type="containsText" priority="1397" operator="containsText" id="{3A15A9EA-9837-4EAE-8769-CAFB0E3A64F4}">
            <xm:f>NOT(ISERROR(SEARCH($Q$12,AM922)))</xm:f>
            <xm:f>$Q$12</xm:f>
            <x14:dxf>
              <fill>
                <patternFill>
                  <bgColor rgb="FFFFC000"/>
                </patternFill>
              </fill>
            </x14:dxf>
          </x14:cfRule>
          <x14:cfRule type="containsText" priority="1395" operator="containsText" id="{40C8F4C3-4C1C-4778-AB92-F003227D6860}">
            <xm:f>NOT(ISERROR(SEARCH($Q$12,AM922)))</xm:f>
            <xm:f>$Q$12</xm:f>
            <x14:dxf>
              <fill>
                <patternFill>
                  <bgColor rgb="FF00B050"/>
                </patternFill>
              </fill>
            </x14:dxf>
          </x14:cfRule>
          <x14:cfRule type="containsText" priority="1394" operator="containsText" id="{652BA95B-10CC-4991-ABDE-584B510AA362}">
            <xm:f>NOT(ISERROR(SEARCH($Q$12,AM922)))</xm:f>
            <xm:f>$Q$12</xm:f>
            <x14:dxf>
              <fill>
                <patternFill>
                  <bgColor theme="9" tint="0.39994506668294322"/>
                </patternFill>
              </fill>
            </x14:dxf>
          </x14:cfRule>
          <xm:sqref>AM922:AN922</xm:sqref>
        </x14:conditionalFormatting>
        <x14:conditionalFormatting xmlns:xm="http://schemas.microsoft.com/office/excel/2006/main">
          <x14:cfRule type="containsText" priority="1380" operator="containsText" id="{1331586A-D2BC-4549-AE6A-59673114BB4B}">
            <xm:f>NOT(ISERROR(SEARCH($Q$12,AM932)))</xm:f>
            <xm:f>$Q$12</xm:f>
            <x14:dxf>
              <fill>
                <patternFill>
                  <bgColor rgb="FFFFFF00"/>
                </patternFill>
              </fill>
            </x14:dxf>
          </x14:cfRule>
          <x14:cfRule type="containsText" priority="1381" operator="containsText" id="{7CC57E59-63B4-45BA-8B24-03426F60404E}">
            <xm:f>NOT(ISERROR(SEARCH($Q$12,AM932)))</xm:f>
            <xm:f>$Q$12</xm:f>
            <x14:dxf>
              <fill>
                <patternFill>
                  <bgColor rgb="FFFFC000"/>
                </patternFill>
              </fill>
            </x14:dxf>
          </x14:cfRule>
          <x14:cfRule type="containsText" priority="1383" operator="containsText" id="{1ED28735-3774-48FF-BB34-89BB59A1AF67}">
            <xm:f>NOT(ISERROR(SEARCH($Q$12,AM932)))</xm:f>
            <xm:f>$Q$12</xm:f>
            <x14:dxf>
              <fill>
                <patternFill>
                  <bgColor theme="9" tint="0.59996337778862885"/>
                </patternFill>
              </fill>
            </x14:dxf>
          </x14:cfRule>
          <x14:cfRule type="containsText" priority="1379" operator="containsText" id="{D9C75F11-B038-4DCD-A8DF-31D00405878E}">
            <xm:f>NOT(ISERROR(SEARCH($Q$12,AM932)))</xm:f>
            <xm:f>$Q$12</xm:f>
            <x14:dxf>
              <fill>
                <patternFill>
                  <bgColor rgb="FF00B050"/>
                </patternFill>
              </fill>
            </x14:dxf>
          </x14:cfRule>
          <x14:cfRule type="containsText" priority="1382" operator="containsText" id="{C7EBDBBD-1FFE-47DE-B892-B583953F1D8D}">
            <xm:f>NOT(ISERROR(SEARCH($Q$12,AM932)))</xm:f>
            <xm:f>$Q$12</xm:f>
            <x14:dxf>
              <fill>
                <patternFill>
                  <bgColor rgb="FFFF0000"/>
                </patternFill>
              </fill>
            </x14:dxf>
          </x14:cfRule>
          <x14:cfRule type="containsText" priority="1378" operator="containsText" id="{077144CE-1679-4C49-8D4D-F7E68B4BBC24}">
            <xm:f>NOT(ISERROR(SEARCH($Q$12,AM932)))</xm:f>
            <xm:f>$Q$12</xm:f>
            <x14:dxf>
              <fill>
                <patternFill>
                  <bgColor theme="9" tint="0.39994506668294322"/>
                </patternFill>
              </fill>
            </x14:dxf>
          </x14:cfRule>
          <x14:cfRule type="containsText" priority="1377" operator="containsText" id="{00D02944-3D09-4B7C-8787-C549A0865E0E}">
            <xm:f>NOT(ISERROR(SEARCH($Q$12,AM932)))</xm:f>
            <xm:f>$Q$12</xm:f>
            <x14:dxf>
              <fill>
                <patternFill>
                  <bgColor theme="9" tint="0.79998168889431442"/>
                </patternFill>
              </fill>
            </x14:dxf>
          </x14:cfRule>
          <x14:cfRule type="containsText" priority="1384" operator="containsText" id="{DE7B4E77-D1FC-4285-95A8-5E4995B9860C}">
            <xm:f>NOT(ISERROR(SEARCH($Q$12,AM932)))</xm:f>
            <xm:f>$Q$12</xm:f>
            <x14:dxf>
              <fill>
                <patternFill>
                  <bgColor theme="9"/>
                </patternFill>
              </fill>
            </x14:dxf>
          </x14:cfRule>
          <x14:cfRule type="containsText" priority="1385" operator="containsText" id="{EB4C9354-6B39-4CDB-B12E-8E6749E68BE1}">
            <xm:f>NOT(ISERROR(SEARCH($Q$12,AM932)))</xm:f>
            <xm:f>$Q$12</xm:f>
            <x14:dxf>
              <fill>
                <patternFill>
                  <bgColor rgb="FFFFFF00"/>
                </patternFill>
              </fill>
            </x14:dxf>
          </x14:cfRule>
          <x14:cfRule type="containsText" priority="1386" operator="containsText" id="{01F4D172-C1C3-4900-96F6-A80AC4463408}">
            <xm:f>NOT(ISERROR(SEARCH($Q$12,AM932)))</xm:f>
            <xm:f>$Q$12</xm:f>
            <x14:dxf>
              <fill>
                <patternFill>
                  <bgColor rgb="FFFFC000"/>
                </patternFill>
              </fill>
            </x14:dxf>
          </x14:cfRule>
          <x14:cfRule type="containsText" priority="1387" operator="containsText" id="{CCF8CA7C-4A92-4EAB-B801-F52D44ECBE9E}">
            <xm:f>NOT(ISERROR(SEARCH($Q$12,AM932)))</xm:f>
            <xm:f>$Q$12</xm:f>
            <x14:dxf>
              <fill>
                <patternFill>
                  <bgColor rgb="FFFF0000"/>
                </patternFill>
              </fill>
            </x14:dxf>
          </x14:cfRule>
          <xm:sqref>AM932:AN932</xm:sqref>
        </x14:conditionalFormatting>
        <x14:conditionalFormatting xmlns:xm="http://schemas.microsoft.com/office/excel/2006/main">
          <x14:cfRule type="containsText" priority="721" operator="containsText" id="{7FA2C316-A713-4D66-B648-C22C2DD8FD17}">
            <xm:f>NOT(ISERROR(SEARCH($Q$12,AM942)))</xm:f>
            <xm:f>$Q$12</xm:f>
            <x14:dxf>
              <fill>
                <patternFill>
                  <bgColor rgb="FFFFFF00"/>
                </patternFill>
              </fill>
            </x14:dxf>
          </x14:cfRule>
          <xm:sqref>AM942:AN942</xm:sqref>
        </x14:conditionalFormatting>
        <x14:conditionalFormatting xmlns:xm="http://schemas.microsoft.com/office/excel/2006/main">
          <x14:cfRule type="containsText" priority="829" operator="containsText" id="{5DE7B173-13FA-49A3-87E2-9EB5E7D05C61}">
            <xm:f>NOT(ISERROR(SEARCH($Q$12,AM952)))</xm:f>
            <xm:f>$Q$12</xm:f>
            <x14:dxf>
              <fill>
                <patternFill>
                  <bgColor rgb="FFFF0000"/>
                </patternFill>
              </fill>
            </x14:dxf>
          </x14:cfRule>
          <x14:cfRule type="containsText" priority="828" operator="containsText" id="{701913B8-22C8-412A-986B-985627228F77}">
            <xm:f>NOT(ISERROR(SEARCH($Q$12,AM952)))</xm:f>
            <xm:f>$Q$12</xm:f>
            <x14:dxf>
              <fill>
                <patternFill>
                  <bgColor rgb="FFFFC000"/>
                </patternFill>
              </fill>
            </x14:dxf>
          </x14:cfRule>
          <x14:cfRule type="containsText" priority="819" operator="containsText" id="{A51C1A88-4E16-4E74-85B3-506C52DE3D3C}">
            <xm:f>NOT(ISERROR(SEARCH($Q$12,AM952)))</xm:f>
            <xm:f>$Q$12</xm:f>
            <x14:dxf>
              <fill>
                <patternFill>
                  <bgColor theme="9" tint="0.79998168889431442"/>
                </patternFill>
              </fill>
            </x14:dxf>
          </x14:cfRule>
          <x14:cfRule type="containsText" priority="820" operator="containsText" id="{CE24FDB2-AF56-48C3-B63D-70F37E40D5A3}">
            <xm:f>NOT(ISERROR(SEARCH($Q$12,AM952)))</xm:f>
            <xm:f>$Q$12</xm:f>
            <x14:dxf>
              <fill>
                <patternFill>
                  <bgColor theme="9" tint="0.39994506668294322"/>
                </patternFill>
              </fill>
            </x14:dxf>
          </x14:cfRule>
          <x14:cfRule type="containsText" priority="827" operator="containsText" id="{E65EF11A-6BA1-41EE-8D74-A064472294A9}">
            <xm:f>NOT(ISERROR(SEARCH($Q$12,AM952)))</xm:f>
            <xm:f>$Q$12</xm:f>
            <x14:dxf>
              <fill>
                <patternFill>
                  <bgColor rgb="FFFFFF00"/>
                </patternFill>
              </fill>
            </x14:dxf>
          </x14:cfRule>
          <x14:cfRule type="containsText" priority="821" operator="containsText" id="{6B4C1409-451C-4418-B1C8-08340ECAA3B4}">
            <xm:f>NOT(ISERROR(SEARCH($Q$12,AM952)))</xm:f>
            <xm:f>$Q$12</xm:f>
            <x14:dxf>
              <fill>
                <patternFill>
                  <bgColor rgb="FF00B050"/>
                </patternFill>
              </fill>
            </x14:dxf>
          </x14:cfRule>
          <x14:cfRule type="containsText" priority="822" operator="containsText" id="{7296324B-238A-4C8D-8DA2-67ADE930BBC4}">
            <xm:f>NOT(ISERROR(SEARCH($Q$12,AM952)))</xm:f>
            <xm:f>$Q$12</xm:f>
            <x14:dxf>
              <fill>
                <patternFill>
                  <bgColor rgb="FFFFFF00"/>
                </patternFill>
              </fill>
            </x14:dxf>
          </x14:cfRule>
          <x14:cfRule type="containsText" priority="823" operator="containsText" id="{C876D13F-8594-474F-8F60-A0A9C0A4F499}">
            <xm:f>NOT(ISERROR(SEARCH($Q$12,AM952)))</xm:f>
            <xm:f>$Q$12</xm:f>
            <x14:dxf>
              <fill>
                <patternFill>
                  <bgColor rgb="FFFFC000"/>
                </patternFill>
              </fill>
            </x14:dxf>
          </x14:cfRule>
          <x14:cfRule type="containsText" priority="825" operator="containsText" id="{765E6E14-8E6B-481D-8F0E-7A0B4B070E69}">
            <xm:f>NOT(ISERROR(SEARCH($Q$12,AM952)))</xm:f>
            <xm:f>$Q$12</xm:f>
            <x14:dxf>
              <fill>
                <patternFill>
                  <bgColor theme="9" tint="0.59996337778862885"/>
                </patternFill>
              </fill>
            </x14:dxf>
          </x14:cfRule>
          <x14:cfRule type="containsText" priority="826" operator="containsText" id="{2FA4DD56-AFBF-47F5-AD68-BD0BA2FD4D3A}">
            <xm:f>NOT(ISERROR(SEARCH($Q$12,AM952)))</xm:f>
            <xm:f>$Q$12</xm:f>
            <x14:dxf>
              <fill>
                <patternFill>
                  <bgColor theme="9"/>
                </patternFill>
              </fill>
            </x14:dxf>
          </x14:cfRule>
          <x14:cfRule type="containsText" priority="824" operator="containsText" id="{E85BEE52-D45D-4808-B1C0-DE0AAE71A8FE}">
            <xm:f>NOT(ISERROR(SEARCH($Q$12,AM952)))</xm:f>
            <xm:f>$Q$12</xm:f>
            <x14:dxf>
              <fill>
                <patternFill>
                  <bgColor rgb="FFFF0000"/>
                </patternFill>
              </fill>
            </x14:dxf>
          </x14:cfRule>
          <xm:sqref>AM952:AN952</xm:sqref>
        </x14:conditionalFormatting>
        <x14:conditionalFormatting xmlns:xm="http://schemas.microsoft.com/office/excel/2006/main">
          <x14:cfRule type="containsText" priority="675" operator="containsText" id="{4DDEF128-F151-4024-AA3C-A14FFFDEE983}">
            <xm:f>NOT(ISERROR(SEARCH($Q$12,AM962)))</xm:f>
            <xm:f>$Q$12</xm:f>
            <x14:dxf>
              <fill>
                <patternFill>
                  <bgColor rgb="FFFF0000"/>
                </patternFill>
              </fill>
            </x14:dxf>
          </x14:cfRule>
          <x14:cfRule type="containsText" priority="674" operator="containsText" id="{1CF15596-0FB1-4CD6-AA0F-F8E14F6EAD4A}">
            <xm:f>NOT(ISERROR(SEARCH($Q$12,AM962)))</xm:f>
            <xm:f>$Q$12</xm:f>
            <x14:dxf>
              <fill>
                <patternFill>
                  <bgColor rgb="FFFFC000"/>
                </patternFill>
              </fill>
            </x14:dxf>
          </x14:cfRule>
          <x14:cfRule type="containsText" priority="672" operator="containsText" id="{1CEBBE46-3BCE-45C0-8EDD-D8588B5E943F}">
            <xm:f>NOT(ISERROR(SEARCH($Q$12,AM962)))</xm:f>
            <xm:f>$Q$12</xm:f>
            <x14:dxf>
              <fill>
                <patternFill>
                  <bgColor theme="9"/>
                </patternFill>
              </fill>
            </x14:dxf>
          </x14:cfRule>
          <x14:cfRule type="containsText" priority="671" operator="containsText" id="{84DA4383-69F1-4539-BEC1-8E242FD84FFD}">
            <xm:f>NOT(ISERROR(SEARCH($Q$12,AM962)))</xm:f>
            <xm:f>$Q$12</xm:f>
            <x14:dxf>
              <fill>
                <patternFill>
                  <bgColor theme="9" tint="0.59996337778862885"/>
                </patternFill>
              </fill>
            </x14:dxf>
          </x14:cfRule>
          <x14:cfRule type="containsText" priority="670" operator="containsText" id="{8CA50B7E-1218-4710-93ED-2D76762899A2}">
            <xm:f>NOT(ISERROR(SEARCH($Q$12,AM962)))</xm:f>
            <xm:f>$Q$12</xm:f>
            <x14:dxf>
              <fill>
                <patternFill>
                  <bgColor rgb="FFFF0000"/>
                </patternFill>
              </fill>
            </x14:dxf>
          </x14:cfRule>
          <x14:cfRule type="containsText" priority="673" operator="containsText" id="{460A519F-753B-4931-BE33-748772B8F309}">
            <xm:f>NOT(ISERROR(SEARCH($Q$12,AM962)))</xm:f>
            <xm:f>$Q$12</xm:f>
            <x14:dxf>
              <fill>
                <patternFill>
                  <bgColor rgb="FFFFFF00"/>
                </patternFill>
              </fill>
            </x14:dxf>
          </x14:cfRule>
          <x14:cfRule type="containsText" priority="669" operator="containsText" id="{F7E226D7-FC43-4948-9687-5B064A6CD7F7}">
            <xm:f>NOT(ISERROR(SEARCH($Q$12,AM962)))</xm:f>
            <xm:f>$Q$12</xm:f>
            <x14:dxf>
              <fill>
                <patternFill>
                  <bgColor rgb="FFFFC000"/>
                </patternFill>
              </fill>
            </x14:dxf>
          </x14:cfRule>
          <x14:cfRule type="containsText" priority="668" operator="containsText" id="{125FD691-0391-454F-8016-A897C344CC4D}">
            <xm:f>NOT(ISERROR(SEARCH($Q$12,AM962)))</xm:f>
            <xm:f>$Q$12</xm:f>
            <x14:dxf>
              <fill>
                <patternFill>
                  <bgColor rgb="FFFFFF00"/>
                </patternFill>
              </fill>
            </x14:dxf>
          </x14:cfRule>
          <x14:cfRule type="containsText" priority="667" operator="containsText" id="{729E2334-F47B-4C3F-8A75-A4E98DAAC767}">
            <xm:f>NOT(ISERROR(SEARCH($Q$12,AM962)))</xm:f>
            <xm:f>$Q$12</xm:f>
            <x14:dxf>
              <fill>
                <patternFill>
                  <bgColor rgb="FF00B050"/>
                </patternFill>
              </fill>
            </x14:dxf>
          </x14:cfRule>
          <x14:cfRule type="containsText" priority="666" operator="containsText" id="{DCCE59A4-2B89-4ACD-9CEA-4DFD82F35607}">
            <xm:f>NOT(ISERROR(SEARCH($Q$12,AM962)))</xm:f>
            <xm:f>$Q$12</xm:f>
            <x14:dxf>
              <fill>
                <patternFill>
                  <bgColor theme="9" tint="0.39994506668294322"/>
                </patternFill>
              </fill>
            </x14:dxf>
          </x14:cfRule>
          <x14:cfRule type="containsText" priority="665" operator="containsText" id="{0525FC67-A497-439A-9287-2FB6F906D12A}">
            <xm:f>NOT(ISERROR(SEARCH($Q$12,AM962)))</xm:f>
            <xm:f>$Q$12</xm:f>
            <x14:dxf>
              <fill>
                <patternFill>
                  <bgColor theme="9" tint="0.79998168889431442"/>
                </patternFill>
              </fill>
            </x14:dxf>
          </x14:cfRule>
          <xm:sqref>AM962:AN962</xm:sqref>
        </x14:conditionalFormatting>
        <x14:conditionalFormatting xmlns:xm="http://schemas.microsoft.com/office/excel/2006/main">
          <x14:cfRule type="containsText" priority="555" operator="containsText" id="{AE7FC160-616B-464E-A2EF-534E373E72DE}">
            <xm:f>NOT(ISERROR(SEARCH($Q$12,AM972)))</xm:f>
            <xm:f>$Q$12</xm:f>
            <x14:dxf>
              <fill>
                <patternFill>
                  <bgColor rgb="FF00B050"/>
                </patternFill>
              </fill>
            </x14:dxf>
          </x14:cfRule>
          <x14:cfRule type="containsText" priority="556" operator="containsText" id="{64BF2DD3-C9DB-490B-93F3-40E849277E32}">
            <xm:f>NOT(ISERROR(SEARCH($Q$12,AM972)))</xm:f>
            <xm:f>$Q$12</xm:f>
            <x14:dxf>
              <fill>
                <patternFill>
                  <bgColor rgb="FFFFFF00"/>
                </patternFill>
              </fill>
            </x14:dxf>
          </x14:cfRule>
          <x14:cfRule type="containsText" priority="557" operator="containsText" id="{AC757BDE-BE46-42A5-A6EC-96A575D9743D}">
            <xm:f>NOT(ISERROR(SEARCH($Q$12,AM972)))</xm:f>
            <xm:f>$Q$12</xm:f>
            <x14:dxf>
              <fill>
                <patternFill>
                  <bgColor rgb="FFFFC000"/>
                </patternFill>
              </fill>
            </x14:dxf>
          </x14:cfRule>
          <x14:cfRule type="containsText" priority="554" operator="containsText" id="{3A0B76B8-F32F-4E38-BC54-410AE7E42C94}">
            <xm:f>NOT(ISERROR(SEARCH($Q$12,AM972)))</xm:f>
            <xm:f>$Q$12</xm:f>
            <x14:dxf>
              <fill>
                <patternFill>
                  <bgColor theme="9" tint="0.39994506668294322"/>
                </patternFill>
              </fill>
            </x14:dxf>
          </x14:cfRule>
          <x14:cfRule type="containsText" priority="553" operator="containsText" id="{EB185CE4-F254-49E7-8F24-6FDFA0770533}">
            <xm:f>NOT(ISERROR(SEARCH($Q$12,AM972)))</xm:f>
            <xm:f>$Q$12</xm:f>
            <x14:dxf>
              <fill>
                <patternFill>
                  <bgColor theme="9" tint="0.79998168889431442"/>
                </patternFill>
              </fill>
            </x14:dxf>
          </x14:cfRule>
          <x14:cfRule type="containsText" priority="558" operator="containsText" id="{64C69805-89D1-4ABA-B72E-662DE1F3B160}">
            <xm:f>NOT(ISERROR(SEARCH($Q$12,AM972)))</xm:f>
            <xm:f>$Q$12</xm:f>
            <x14:dxf>
              <fill>
                <patternFill>
                  <bgColor rgb="FFFF0000"/>
                </patternFill>
              </fill>
            </x14:dxf>
          </x14:cfRule>
          <x14:cfRule type="containsText" priority="559" operator="containsText" id="{88FB6484-E4D7-4C09-A91E-C5223B0E45A0}">
            <xm:f>NOT(ISERROR(SEARCH($Q$12,AM972)))</xm:f>
            <xm:f>$Q$12</xm:f>
            <x14:dxf>
              <fill>
                <patternFill>
                  <bgColor theme="9" tint="0.59996337778862885"/>
                </patternFill>
              </fill>
            </x14:dxf>
          </x14:cfRule>
          <x14:cfRule type="containsText" priority="560" operator="containsText" id="{ACDFE62B-6ED0-44C8-89CA-69AE81F228E7}">
            <xm:f>NOT(ISERROR(SEARCH($Q$12,AM972)))</xm:f>
            <xm:f>$Q$12</xm:f>
            <x14:dxf>
              <fill>
                <patternFill>
                  <bgColor theme="9"/>
                </patternFill>
              </fill>
            </x14:dxf>
          </x14:cfRule>
          <x14:cfRule type="containsText" priority="561" operator="containsText" id="{E77316B6-E2C6-4D83-A9AD-8AF587F4ED89}">
            <xm:f>NOT(ISERROR(SEARCH($Q$12,AM972)))</xm:f>
            <xm:f>$Q$12</xm:f>
            <x14:dxf>
              <fill>
                <patternFill>
                  <bgColor rgb="FFFFFF00"/>
                </patternFill>
              </fill>
            </x14:dxf>
          </x14:cfRule>
          <x14:cfRule type="containsText" priority="562" operator="containsText" id="{F7093A71-B806-4C70-8E07-34758B25AA47}">
            <xm:f>NOT(ISERROR(SEARCH($Q$12,AM972)))</xm:f>
            <xm:f>$Q$12</xm:f>
            <x14:dxf>
              <fill>
                <patternFill>
                  <bgColor rgb="FFFFC000"/>
                </patternFill>
              </fill>
            </x14:dxf>
          </x14:cfRule>
          <x14:cfRule type="containsText" priority="563" operator="containsText" id="{F9A9D22B-A4DA-4B91-9A75-871247BCE283}">
            <xm:f>NOT(ISERROR(SEARCH($Q$12,AM972)))</xm:f>
            <xm:f>$Q$12</xm:f>
            <x14:dxf>
              <fill>
                <patternFill>
                  <bgColor rgb="FFFF0000"/>
                </patternFill>
              </fill>
            </x14:dxf>
          </x14:cfRule>
          <xm:sqref>AM972:AN972</xm:sqref>
        </x14:conditionalFormatting>
        <x14:conditionalFormatting xmlns:xm="http://schemas.microsoft.com/office/excel/2006/main">
          <x14:cfRule type="containsText" priority="543" operator="containsText" id="{FE6200F1-ADD9-4778-BECC-C97352377116}">
            <xm:f>NOT(ISERROR(SEARCH($Q$12,AM982)))</xm:f>
            <xm:f>$Q$12</xm:f>
            <x14:dxf>
              <fill>
                <patternFill>
                  <bgColor theme="9" tint="0.59996337778862885"/>
                </patternFill>
              </fill>
            </x14:dxf>
          </x14:cfRule>
          <x14:cfRule type="containsText" priority="537" operator="containsText" id="{E4F15FE9-D566-4803-9A95-E2A85F4BC04E}">
            <xm:f>NOT(ISERROR(SEARCH($Q$12,AM982)))</xm:f>
            <xm:f>$Q$12</xm:f>
            <x14:dxf>
              <fill>
                <patternFill>
                  <bgColor theme="9" tint="0.79998168889431442"/>
                </patternFill>
              </fill>
            </x14:dxf>
          </x14:cfRule>
          <x14:cfRule type="containsText" priority="547" operator="containsText" id="{443FD6AF-A634-4B72-B980-26DCA5B2144D}">
            <xm:f>NOT(ISERROR(SEARCH($Q$12,AM982)))</xm:f>
            <xm:f>$Q$12</xm:f>
            <x14:dxf>
              <fill>
                <patternFill>
                  <bgColor rgb="FFFF0000"/>
                </patternFill>
              </fill>
            </x14:dxf>
          </x14:cfRule>
          <x14:cfRule type="containsText" priority="546" operator="containsText" id="{762DA208-F942-45BB-BB01-F96910EEF93E}">
            <xm:f>NOT(ISERROR(SEARCH($Q$12,AM982)))</xm:f>
            <xm:f>$Q$12</xm:f>
            <x14:dxf>
              <fill>
                <patternFill>
                  <bgColor rgb="FFFFC000"/>
                </patternFill>
              </fill>
            </x14:dxf>
          </x14:cfRule>
          <x14:cfRule type="containsText" priority="544" operator="containsText" id="{89EBE7F2-9391-427D-BC13-1A557649D268}">
            <xm:f>NOT(ISERROR(SEARCH($Q$12,AM982)))</xm:f>
            <xm:f>$Q$12</xm:f>
            <x14:dxf>
              <fill>
                <patternFill>
                  <bgColor theme="9"/>
                </patternFill>
              </fill>
            </x14:dxf>
          </x14:cfRule>
          <x14:cfRule type="containsText" priority="542" operator="containsText" id="{F42F5DE1-7544-4493-966E-F761B45F455E}">
            <xm:f>NOT(ISERROR(SEARCH($Q$12,AM982)))</xm:f>
            <xm:f>$Q$12</xm:f>
            <x14:dxf>
              <fill>
                <patternFill>
                  <bgColor rgb="FFFF0000"/>
                </patternFill>
              </fill>
            </x14:dxf>
          </x14:cfRule>
          <x14:cfRule type="containsText" priority="541" operator="containsText" id="{5E62E3D0-EDB9-484E-907F-F522D73600A2}">
            <xm:f>NOT(ISERROR(SEARCH($Q$12,AM982)))</xm:f>
            <xm:f>$Q$12</xm:f>
            <x14:dxf>
              <fill>
                <patternFill>
                  <bgColor rgb="FFFFC000"/>
                </patternFill>
              </fill>
            </x14:dxf>
          </x14:cfRule>
          <x14:cfRule type="containsText" priority="540" operator="containsText" id="{EA82884D-BBE2-4223-AEE6-A0EBB789F143}">
            <xm:f>NOT(ISERROR(SEARCH($Q$12,AM982)))</xm:f>
            <xm:f>$Q$12</xm:f>
            <x14:dxf>
              <fill>
                <patternFill>
                  <bgColor rgb="FFFFFF00"/>
                </patternFill>
              </fill>
            </x14:dxf>
          </x14:cfRule>
          <x14:cfRule type="containsText" priority="539" operator="containsText" id="{43A5601E-0353-43B8-B0BD-2739B80A45AC}">
            <xm:f>NOT(ISERROR(SEARCH($Q$12,AM982)))</xm:f>
            <xm:f>$Q$12</xm:f>
            <x14:dxf>
              <fill>
                <patternFill>
                  <bgColor rgb="FF00B050"/>
                </patternFill>
              </fill>
            </x14:dxf>
          </x14:cfRule>
          <x14:cfRule type="containsText" priority="538" operator="containsText" id="{99FE23EE-EA96-404E-9E31-B01CA4C40FC4}">
            <xm:f>NOT(ISERROR(SEARCH($Q$12,AM982)))</xm:f>
            <xm:f>$Q$12</xm:f>
            <x14:dxf>
              <fill>
                <patternFill>
                  <bgColor theme="9" tint="0.39994506668294322"/>
                </patternFill>
              </fill>
            </x14:dxf>
          </x14:cfRule>
          <x14:cfRule type="containsText" priority="545" operator="containsText" id="{52F6C681-F7F6-48A9-8081-391F0E0FAEA0}">
            <xm:f>NOT(ISERROR(SEARCH($Q$12,AM982)))</xm:f>
            <xm:f>$Q$12</xm:f>
            <x14:dxf>
              <fill>
                <patternFill>
                  <bgColor rgb="FFFFFF00"/>
                </patternFill>
              </fill>
            </x14:dxf>
          </x14:cfRule>
          <xm:sqref>AM982:AN982</xm:sqref>
        </x14:conditionalFormatting>
        <x14:conditionalFormatting xmlns:xm="http://schemas.microsoft.com/office/excel/2006/main">
          <x14:cfRule type="containsText" priority="525" operator="containsText" id="{D9D84121-285A-42C5-AA9E-BBA223A2109E}">
            <xm:f>NOT(ISERROR(SEARCH($Q$12,AM992)))</xm:f>
            <xm:f>$Q$12</xm:f>
            <x14:dxf>
              <fill>
                <patternFill>
                  <bgColor rgb="FFFFC000"/>
                </patternFill>
              </fill>
            </x14:dxf>
          </x14:cfRule>
          <x14:cfRule type="containsText" priority="521" operator="containsText" id="{1AA5936E-FA95-4336-9EFB-7795E413DD7D}">
            <xm:f>NOT(ISERROR(SEARCH($Q$12,AM992)))</xm:f>
            <xm:f>$Q$12</xm:f>
            <x14:dxf>
              <fill>
                <patternFill>
                  <bgColor theme="9" tint="0.79998168889431442"/>
                </patternFill>
              </fill>
            </x14:dxf>
          </x14:cfRule>
          <x14:cfRule type="containsText" priority="522" operator="containsText" id="{51701E87-700F-482A-821B-9FAF90558EC4}">
            <xm:f>NOT(ISERROR(SEARCH($Q$12,AM992)))</xm:f>
            <xm:f>$Q$12</xm:f>
            <x14:dxf>
              <fill>
                <patternFill>
                  <bgColor theme="9" tint="0.39994506668294322"/>
                </patternFill>
              </fill>
            </x14:dxf>
          </x14:cfRule>
          <x14:cfRule type="containsText" priority="523" operator="containsText" id="{2EBD01D1-E6CC-431D-8D41-A06D43AFA05C}">
            <xm:f>NOT(ISERROR(SEARCH($Q$12,AM992)))</xm:f>
            <xm:f>$Q$12</xm:f>
            <x14:dxf>
              <fill>
                <patternFill>
                  <bgColor rgb="FF00B050"/>
                </patternFill>
              </fill>
            </x14:dxf>
          </x14:cfRule>
          <x14:cfRule type="containsText" priority="524" operator="containsText" id="{E3BD7869-E3E8-48F8-9CFC-8BDD214AFA69}">
            <xm:f>NOT(ISERROR(SEARCH($Q$12,AM992)))</xm:f>
            <xm:f>$Q$12</xm:f>
            <x14:dxf>
              <fill>
                <patternFill>
                  <bgColor rgb="FFFFFF00"/>
                </patternFill>
              </fill>
            </x14:dxf>
          </x14:cfRule>
          <x14:cfRule type="containsText" priority="531" operator="containsText" id="{04F65E19-810E-4639-B7E6-03B942022371}">
            <xm:f>NOT(ISERROR(SEARCH($Q$12,AM992)))</xm:f>
            <xm:f>$Q$12</xm:f>
            <x14:dxf>
              <fill>
                <patternFill>
                  <bgColor rgb="FFFF0000"/>
                </patternFill>
              </fill>
            </x14:dxf>
          </x14:cfRule>
          <x14:cfRule type="containsText" priority="526" operator="containsText" id="{A60AC8A5-FD41-4C0C-994F-92312E6BBE89}">
            <xm:f>NOT(ISERROR(SEARCH($Q$12,AM992)))</xm:f>
            <xm:f>$Q$12</xm:f>
            <x14:dxf>
              <fill>
                <patternFill>
                  <bgColor rgb="FFFF0000"/>
                </patternFill>
              </fill>
            </x14:dxf>
          </x14:cfRule>
          <x14:cfRule type="containsText" priority="527" operator="containsText" id="{2294BAB3-765B-4D91-81D0-3E7F2C4B56C9}">
            <xm:f>NOT(ISERROR(SEARCH($Q$12,AM992)))</xm:f>
            <xm:f>$Q$12</xm:f>
            <x14:dxf>
              <fill>
                <patternFill>
                  <bgColor theme="9" tint="0.59996337778862885"/>
                </patternFill>
              </fill>
            </x14:dxf>
          </x14:cfRule>
          <x14:cfRule type="containsText" priority="528" operator="containsText" id="{EFF04E75-1959-4BDD-AE6C-700FACB124CA}">
            <xm:f>NOT(ISERROR(SEARCH($Q$12,AM992)))</xm:f>
            <xm:f>$Q$12</xm:f>
            <x14:dxf>
              <fill>
                <patternFill>
                  <bgColor theme="9"/>
                </patternFill>
              </fill>
            </x14:dxf>
          </x14:cfRule>
          <x14:cfRule type="containsText" priority="529" operator="containsText" id="{EBAC46DF-CC17-4A4C-9D02-C2B177634F55}">
            <xm:f>NOT(ISERROR(SEARCH($Q$12,AM992)))</xm:f>
            <xm:f>$Q$12</xm:f>
            <x14:dxf>
              <fill>
                <patternFill>
                  <bgColor rgb="FFFFFF00"/>
                </patternFill>
              </fill>
            </x14:dxf>
          </x14:cfRule>
          <x14:cfRule type="containsText" priority="530" operator="containsText" id="{118BA75C-F5D0-4A99-8EA6-C4C19F4D05B0}">
            <xm:f>NOT(ISERROR(SEARCH($Q$12,AM992)))</xm:f>
            <xm:f>$Q$12</xm:f>
            <x14:dxf>
              <fill>
                <patternFill>
                  <bgColor rgb="FFFFC000"/>
                </patternFill>
              </fill>
            </x14:dxf>
          </x14:cfRule>
          <xm:sqref>AM992:AN992</xm:sqref>
        </x14:conditionalFormatting>
        <x14:conditionalFormatting xmlns:xm="http://schemas.microsoft.com/office/excel/2006/main">
          <x14:cfRule type="containsText" priority="259" operator="containsText" id="{B35A51C3-6DC2-4749-95C3-BBEEB2637A26}">
            <xm:f>NOT(ISERROR(SEARCH($Q$12,AM1002)))</xm:f>
            <xm:f>$Q$12</xm:f>
            <x14:dxf>
              <fill>
                <patternFill>
                  <bgColor rgb="FF00B050"/>
                </patternFill>
              </fill>
            </x14:dxf>
          </x14:cfRule>
          <x14:cfRule type="containsText" priority="260" operator="containsText" id="{589385B1-3390-44BB-8005-79F52232FE56}">
            <xm:f>NOT(ISERROR(SEARCH($Q$12,AM1002)))</xm:f>
            <xm:f>$Q$12</xm:f>
            <x14:dxf>
              <fill>
                <patternFill>
                  <bgColor rgb="FFFFFF00"/>
                </patternFill>
              </fill>
            </x14:dxf>
          </x14:cfRule>
          <x14:cfRule type="containsText" priority="267" operator="containsText" id="{7EFCC06C-A060-487A-A99B-F03221DB3EDA}">
            <xm:f>NOT(ISERROR(SEARCH($Q$12,AM1002)))</xm:f>
            <xm:f>$Q$12</xm:f>
            <x14:dxf>
              <fill>
                <patternFill>
                  <bgColor rgb="FFFF0000"/>
                </patternFill>
              </fill>
            </x14:dxf>
          </x14:cfRule>
          <x14:cfRule type="containsText" priority="266" operator="containsText" id="{4572ABB5-C31E-4C97-A567-BCF3FFE8A07B}">
            <xm:f>NOT(ISERROR(SEARCH($Q$12,AM1002)))</xm:f>
            <xm:f>$Q$12</xm:f>
            <x14:dxf>
              <fill>
                <patternFill>
                  <bgColor rgb="FFFFC000"/>
                </patternFill>
              </fill>
            </x14:dxf>
          </x14:cfRule>
          <x14:cfRule type="containsText" priority="265" operator="containsText" id="{BF71A42F-FD06-445B-9F1C-202AC1269BFD}">
            <xm:f>NOT(ISERROR(SEARCH($Q$12,AM1002)))</xm:f>
            <xm:f>$Q$12</xm:f>
            <x14:dxf>
              <fill>
                <patternFill>
                  <bgColor rgb="FFFFFF00"/>
                </patternFill>
              </fill>
            </x14:dxf>
          </x14:cfRule>
          <x14:cfRule type="containsText" priority="264" operator="containsText" id="{E552BD58-67F7-4BD7-8E1E-4D9BBB7946CE}">
            <xm:f>NOT(ISERROR(SEARCH($Q$12,AM1002)))</xm:f>
            <xm:f>$Q$12</xm:f>
            <x14:dxf>
              <fill>
                <patternFill>
                  <bgColor theme="9"/>
                </patternFill>
              </fill>
            </x14:dxf>
          </x14:cfRule>
          <x14:cfRule type="containsText" priority="263" operator="containsText" id="{B3AF088D-E5FD-4291-BEAB-B2E0A530E89E}">
            <xm:f>NOT(ISERROR(SEARCH($Q$12,AM1002)))</xm:f>
            <xm:f>$Q$12</xm:f>
            <x14:dxf>
              <fill>
                <patternFill>
                  <bgColor theme="9" tint="0.59996337778862885"/>
                </patternFill>
              </fill>
            </x14:dxf>
          </x14:cfRule>
          <x14:cfRule type="containsText" priority="261" operator="containsText" id="{92838180-EFAF-4C23-A006-5EABA80D8533}">
            <xm:f>NOT(ISERROR(SEARCH($Q$12,AM1002)))</xm:f>
            <xm:f>$Q$12</xm:f>
            <x14:dxf>
              <fill>
                <patternFill>
                  <bgColor rgb="FFFFC000"/>
                </patternFill>
              </fill>
            </x14:dxf>
          </x14:cfRule>
          <x14:cfRule type="containsText" priority="262" operator="containsText" id="{4792E9BC-92D1-4B31-80DB-45ACE83559D0}">
            <xm:f>NOT(ISERROR(SEARCH($Q$12,AM1002)))</xm:f>
            <xm:f>$Q$12</xm:f>
            <x14:dxf>
              <fill>
                <patternFill>
                  <bgColor rgb="FFFF0000"/>
                </patternFill>
              </fill>
            </x14:dxf>
          </x14:cfRule>
          <x14:cfRule type="containsText" priority="257" operator="containsText" id="{6B8A2F02-FAC4-413F-A1FC-692D55B28E48}">
            <xm:f>NOT(ISERROR(SEARCH($Q$12,AM1002)))</xm:f>
            <xm:f>$Q$12</xm:f>
            <x14:dxf>
              <fill>
                <patternFill>
                  <bgColor theme="9" tint="0.79998168889431442"/>
                </patternFill>
              </fill>
            </x14:dxf>
          </x14:cfRule>
          <x14:cfRule type="containsText" priority="258" operator="containsText" id="{5C651B82-85FC-4DCE-8E6F-16C275395860}">
            <xm:f>NOT(ISERROR(SEARCH($Q$12,AM1002)))</xm:f>
            <xm:f>$Q$12</xm:f>
            <x14:dxf>
              <fill>
                <patternFill>
                  <bgColor theme="9" tint="0.39994506668294322"/>
                </patternFill>
              </fill>
            </x14:dxf>
          </x14:cfRule>
          <xm:sqref>AM1002:AN1002</xm:sqref>
        </x14:conditionalFormatting>
        <x14:conditionalFormatting xmlns:xm="http://schemas.microsoft.com/office/excel/2006/main">
          <x14:cfRule type="containsText" priority="244" operator="containsText" id="{07041669-92FF-4FE4-B207-29E2F1CCA3D0}">
            <xm:f>NOT(ISERROR(SEARCH($Q$12,AM1012)))</xm:f>
            <xm:f>$Q$12</xm:f>
            <x14:dxf>
              <fill>
                <patternFill>
                  <bgColor rgb="FFFFFF00"/>
                </patternFill>
              </fill>
            </x14:dxf>
          </x14:cfRule>
          <x14:cfRule type="containsText" priority="245" operator="containsText" id="{1081B2E8-D354-4121-BECC-FF76A0F7CB93}">
            <xm:f>NOT(ISERROR(SEARCH($Q$12,AM1012)))</xm:f>
            <xm:f>$Q$12</xm:f>
            <x14:dxf>
              <fill>
                <patternFill>
                  <bgColor rgb="FFFFC000"/>
                </patternFill>
              </fill>
            </x14:dxf>
          </x14:cfRule>
          <x14:cfRule type="containsText" priority="246" operator="containsText" id="{C6317B02-4EB7-48AE-B0D9-FDD4578B79F7}">
            <xm:f>NOT(ISERROR(SEARCH($Q$12,AM1012)))</xm:f>
            <xm:f>$Q$12</xm:f>
            <x14:dxf>
              <fill>
                <patternFill>
                  <bgColor rgb="FFFF0000"/>
                </patternFill>
              </fill>
            </x14:dxf>
          </x14:cfRule>
          <x14:cfRule type="containsText" priority="248" operator="containsText" id="{B053A2E5-0F54-4709-88B4-29D0ED74C5D3}">
            <xm:f>NOT(ISERROR(SEARCH($Q$12,AM1012)))</xm:f>
            <xm:f>$Q$12</xm:f>
            <x14:dxf>
              <fill>
                <patternFill>
                  <bgColor theme="9"/>
                </patternFill>
              </fill>
            </x14:dxf>
          </x14:cfRule>
          <x14:cfRule type="containsText" priority="249" operator="containsText" id="{0D03EF40-F38F-42AD-A655-17832927B3D9}">
            <xm:f>NOT(ISERROR(SEARCH($Q$12,AM1012)))</xm:f>
            <xm:f>$Q$12</xm:f>
            <x14:dxf>
              <fill>
                <patternFill>
                  <bgColor rgb="FFFFFF00"/>
                </patternFill>
              </fill>
            </x14:dxf>
          </x14:cfRule>
          <x14:cfRule type="containsText" priority="250" operator="containsText" id="{F4C20D5F-72AB-4E38-8345-C50FEE885E3A}">
            <xm:f>NOT(ISERROR(SEARCH($Q$12,AM1012)))</xm:f>
            <xm:f>$Q$12</xm:f>
            <x14:dxf>
              <fill>
                <patternFill>
                  <bgColor rgb="FFFFC000"/>
                </patternFill>
              </fill>
            </x14:dxf>
          </x14:cfRule>
          <x14:cfRule type="containsText" priority="251" operator="containsText" id="{1B5BADDC-4C4A-48CB-85C9-418785346AA6}">
            <xm:f>NOT(ISERROR(SEARCH($Q$12,AM1012)))</xm:f>
            <xm:f>$Q$12</xm:f>
            <x14:dxf>
              <fill>
                <patternFill>
                  <bgColor rgb="FFFF0000"/>
                </patternFill>
              </fill>
            </x14:dxf>
          </x14:cfRule>
          <x14:cfRule type="containsText" priority="241" operator="containsText" id="{5CD6B829-7191-4613-A8A5-76A5887C4961}">
            <xm:f>NOT(ISERROR(SEARCH($Q$12,AM1012)))</xm:f>
            <xm:f>$Q$12</xm:f>
            <x14:dxf>
              <fill>
                <patternFill>
                  <bgColor theme="9" tint="0.79998168889431442"/>
                </patternFill>
              </fill>
            </x14:dxf>
          </x14:cfRule>
          <x14:cfRule type="containsText" priority="242" operator="containsText" id="{DCAEF4E8-8083-40E0-955A-1BA3C9E71082}">
            <xm:f>NOT(ISERROR(SEARCH($Q$12,AM1012)))</xm:f>
            <xm:f>$Q$12</xm:f>
            <x14:dxf>
              <fill>
                <patternFill>
                  <bgColor theme="9" tint="0.39994506668294322"/>
                </patternFill>
              </fill>
            </x14:dxf>
          </x14:cfRule>
          <x14:cfRule type="containsText" priority="243" operator="containsText" id="{91210C56-EE29-46F3-ACCF-9D714549567B}">
            <xm:f>NOT(ISERROR(SEARCH($Q$12,AM1012)))</xm:f>
            <xm:f>$Q$12</xm:f>
            <x14:dxf>
              <fill>
                <patternFill>
                  <bgColor rgb="FF00B050"/>
                </patternFill>
              </fill>
            </x14:dxf>
          </x14:cfRule>
          <x14:cfRule type="containsText" priority="247" operator="containsText" id="{0325B6A6-FD61-4DAA-84A8-8D33C2FC83C6}">
            <xm:f>NOT(ISERROR(SEARCH($Q$12,AM1012)))</xm:f>
            <xm:f>$Q$12</xm:f>
            <x14:dxf>
              <fill>
                <patternFill>
                  <bgColor theme="9" tint="0.59996337778862885"/>
                </patternFill>
              </fill>
            </x14:dxf>
          </x14:cfRule>
          <xm:sqref>AM1012:AN1012</xm:sqref>
        </x14:conditionalFormatting>
        <x14:conditionalFormatting xmlns:xm="http://schemas.microsoft.com/office/excel/2006/main">
          <x14:cfRule type="containsText" priority="9999" operator="containsText" id="{8FE567F0-3393-4874-BF51-5908E8C9B1A3}">
            <xm:f>NOT(ISERROR(SEARCH($Q$12,AN12)))</xm:f>
            <xm:f>$Q$12</xm:f>
            <x14:dxf>
              <fill>
                <patternFill>
                  <bgColor rgb="FF00B050"/>
                </patternFill>
              </fill>
            </x14:dxf>
          </x14:cfRule>
          <x14:cfRule type="containsText" priority="9996" operator="containsText" id="{90DB756C-1DB3-4EA2-BABC-E50CBD44B03E}">
            <xm:f>NOT(ISERROR(SEARCH($Q$12,AN12)))</xm:f>
            <xm:f>$Q$12</xm:f>
            <x14:dxf>
              <fill>
                <patternFill>
                  <bgColor rgb="FFFFFF00"/>
                </patternFill>
              </fill>
            </x14:dxf>
          </x14:cfRule>
          <x14:cfRule type="containsText" priority="9997" operator="containsText" id="{1A5A7759-64A7-408E-8CA6-4007144B2E6B}">
            <xm:f>NOT(ISERROR(SEARCH($Q$12,AN12)))</xm:f>
            <xm:f>$Q$12</xm:f>
            <x14:dxf>
              <fill>
                <patternFill>
                  <bgColor theme="9" tint="0.79998168889431442"/>
                </patternFill>
              </fill>
            </x14:dxf>
          </x14:cfRule>
          <x14:cfRule type="containsText" priority="9998" operator="containsText" id="{B6E4C7D0-FBE7-4E5F-BA7F-E239B9475700}">
            <xm:f>NOT(ISERROR(SEARCH($Q$12,AN12)))</xm:f>
            <xm:f>$Q$12</xm:f>
            <x14:dxf>
              <fill>
                <patternFill>
                  <bgColor theme="9" tint="0.39994506668294322"/>
                </patternFill>
              </fill>
            </x14:dxf>
          </x14:cfRule>
          <x14:cfRule type="containsText" priority="10000" operator="containsText" id="{A95447E5-2AE3-4B5C-866E-3BE8B8EEBBF7}">
            <xm:f>NOT(ISERROR(SEARCH($Q$12,AN12)))</xm:f>
            <xm:f>$Q$12</xm:f>
            <x14:dxf>
              <fill>
                <patternFill>
                  <bgColor rgb="FFFFFF00"/>
                </patternFill>
              </fill>
            </x14:dxf>
          </x14:cfRule>
          <x14:cfRule type="containsText" priority="10001" operator="containsText" id="{1F88ADD9-193A-4410-A8E0-B4A331FFA98F}">
            <xm:f>NOT(ISERROR(SEARCH($Q$12,AN12)))</xm:f>
            <xm:f>$Q$12</xm:f>
            <x14:dxf>
              <fill>
                <patternFill>
                  <bgColor rgb="FFFFC000"/>
                </patternFill>
              </fill>
            </x14:dxf>
          </x14:cfRule>
          <x14:cfRule type="containsText" priority="10002" operator="containsText" id="{865230FF-034F-4EE1-88D0-5D79ADA0ED26}">
            <xm:f>NOT(ISERROR(SEARCH($Q$12,AN12)))</xm:f>
            <xm:f>$Q$12</xm:f>
            <x14:dxf>
              <fill>
                <patternFill>
                  <bgColor rgb="FFFF0000"/>
                </patternFill>
              </fill>
            </x14:dxf>
          </x14:cfRule>
          <x14:cfRule type="containsText" priority="10003" operator="containsText" id="{30F89B57-ABEF-428C-9AD0-0990C8A6DA17}">
            <xm:f>NOT(ISERROR(SEARCH($Q$12,AN12)))</xm:f>
            <xm:f>$Q$12</xm:f>
            <x14:dxf>
              <fill>
                <patternFill>
                  <bgColor theme="9" tint="0.59996337778862885"/>
                </patternFill>
              </fill>
            </x14:dxf>
          </x14:cfRule>
          <x14:cfRule type="containsText" priority="10004" operator="containsText" id="{B9516892-7AA8-43DA-9543-73ECA2735D4C}">
            <xm:f>NOT(ISERROR(SEARCH($Q$12,AN12)))</xm:f>
            <xm:f>$Q$12</xm:f>
            <x14:dxf>
              <fill>
                <patternFill>
                  <bgColor theme="9"/>
                </patternFill>
              </fill>
            </x14:dxf>
          </x14:cfRule>
          <x14:cfRule type="containsText" priority="10006" operator="containsText" id="{E9C99774-F531-4B6B-B4BB-7EA6DBE7D4E6}">
            <xm:f>NOT(ISERROR(SEARCH($Q$12,AN12)))</xm:f>
            <xm:f>$Q$12</xm:f>
            <x14:dxf>
              <fill>
                <patternFill>
                  <bgColor rgb="FFFFC000"/>
                </patternFill>
              </fill>
            </x14:dxf>
          </x14:cfRule>
          <x14:cfRule type="containsText" priority="10007" operator="containsText" id="{8027D737-0DCA-44E4-A3C9-5267F4290360}">
            <xm:f>NOT(ISERROR(SEARCH($Q$12,AN12)))</xm:f>
            <xm:f>$Q$12</xm:f>
            <x14:dxf>
              <fill>
                <patternFill>
                  <bgColor rgb="FFFF0000"/>
                </patternFill>
              </fill>
            </x14:dxf>
          </x14:cfRule>
          <xm:sqref>AN12</xm:sqref>
        </x14:conditionalFormatting>
        <x14:conditionalFormatting xmlns:xm="http://schemas.microsoft.com/office/excel/2006/main">
          <x14:cfRule type="containsText" priority="9608" operator="containsText" id="{1DE4568B-899B-4914-8936-CF2DA73E713B}">
            <xm:f>NOT(ISERROR(SEARCH($Q$12,AN32)))</xm:f>
            <xm:f>$Q$12</xm:f>
            <x14:dxf>
              <fill>
                <patternFill>
                  <bgColor rgb="FFFFC000"/>
                </patternFill>
              </fill>
            </x14:dxf>
          </x14:cfRule>
          <x14:cfRule type="containsText" priority="9609" operator="containsText" id="{56CB1E16-94B8-4749-9C9F-2F65472A5486}">
            <xm:f>NOT(ISERROR(SEARCH($Q$12,AN32)))</xm:f>
            <xm:f>$Q$12</xm:f>
            <x14:dxf>
              <fill>
                <patternFill>
                  <bgColor rgb="FFFF0000"/>
                </patternFill>
              </fill>
            </x14:dxf>
          </x14:cfRule>
          <x14:cfRule type="containsText" priority="9606" operator="containsText" id="{3640EDF0-8FAB-4A02-8A9E-35927063248A}">
            <xm:f>NOT(ISERROR(SEARCH($Q$12,AN32)))</xm:f>
            <xm:f>$Q$12</xm:f>
            <x14:dxf>
              <fill>
                <patternFill>
                  <bgColor theme="9"/>
                </patternFill>
              </fill>
            </x14:dxf>
          </x14:cfRule>
          <x14:cfRule type="containsText" priority="9601" operator="containsText" id="{2F025A34-F818-48D4-92DF-3F1EEC91820F}">
            <xm:f>NOT(ISERROR(SEARCH($Q$12,AN32)))</xm:f>
            <xm:f>$Q$12</xm:f>
            <x14:dxf>
              <fill>
                <patternFill>
                  <bgColor rgb="FF00B050"/>
                </patternFill>
              </fill>
            </x14:dxf>
          </x14:cfRule>
          <x14:cfRule type="containsText" priority="9602" operator="containsText" id="{240CF6B7-F871-4CEE-8C01-001AB2344DF2}">
            <xm:f>NOT(ISERROR(SEARCH($Q$12,AN32)))</xm:f>
            <xm:f>$Q$12</xm:f>
            <x14:dxf>
              <fill>
                <patternFill>
                  <bgColor rgb="FFFFFF00"/>
                </patternFill>
              </fill>
            </x14:dxf>
          </x14:cfRule>
          <x14:cfRule type="containsText" priority="9603" operator="containsText" id="{5A8FAB86-8EE6-4EEC-A547-7B4AAA2609F1}">
            <xm:f>NOT(ISERROR(SEARCH($Q$12,AN32)))</xm:f>
            <xm:f>$Q$12</xm:f>
            <x14:dxf>
              <fill>
                <patternFill>
                  <bgColor rgb="FFFFC000"/>
                </patternFill>
              </fill>
            </x14:dxf>
          </x14:cfRule>
          <x14:cfRule type="containsText" priority="9605" operator="containsText" id="{F9D6415B-4C46-4A8B-9A90-CBE1B3DE9357}">
            <xm:f>NOT(ISERROR(SEARCH($Q$12,AN32)))</xm:f>
            <xm:f>$Q$12</xm:f>
            <x14:dxf>
              <fill>
                <patternFill>
                  <bgColor theme="9" tint="0.59996337778862885"/>
                </patternFill>
              </fill>
            </x14:dxf>
          </x14:cfRule>
          <x14:cfRule type="containsText" priority="9598" operator="containsText" id="{86E9B584-CE1E-4918-9716-7E8E65C607CA}">
            <xm:f>NOT(ISERROR(SEARCH($Q$12,AN32)))</xm:f>
            <xm:f>$Q$12</xm:f>
            <x14:dxf>
              <fill>
                <patternFill>
                  <bgColor rgb="FFFFFF00"/>
                </patternFill>
              </fill>
            </x14:dxf>
          </x14:cfRule>
          <x14:cfRule type="containsText" priority="9604" operator="containsText" id="{8E8F8B4A-C8B1-4354-98A2-7EF5CF8CD2AD}">
            <xm:f>NOT(ISERROR(SEARCH($Q$12,AN32)))</xm:f>
            <xm:f>$Q$12</xm:f>
            <x14:dxf>
              <fill>
                <patternFill>
                  <bgColor rgb="FFFF0000"/>
                </patternFill>
              </fill>
            </x14:dxf>
          </x14:cfRule>
          <x14:cfRule type="containsText" priority="9600" operator="containsText" id="{E74A0C9C-FFEC-4346-9962-1093422040A6}">
            <xm:f>NOT(ISERROR(SEARCH($Q$12,AN32)))</xm:f>
            <xm:f>$Q$12</xm:f>
            <x14:dxf>
              <fill>
                <patternFill>
                  <bgColor theme="9" tint="0.39994506668294322"/>
                </patternFill>
              </fill>
            </x14:dxf>
          </x14:cfRule>
          <x14:cfRule type="containsText" priority="9599" operator="containsText" id="{FC3E615C-A066-42A5-809E-B080F7B019AA}">
            <xm:f>NOT(ISERROR(SEARCH($Q$12,AN32)))</xm:f>
            <xm:f>$Q$12</xm:f>
            <x14:dxf>
              <fill>
                <patternFill>
                  <bgColor theme="9" tint="0.79998168889431442"/>
                </patternFill>
              </fill>
            </x14:dxf>
          </x14:cfRule>
          <xm:sqref>AN32</xm:sqref>
        </x14:conditionalFormatting>
        <x14:conditionalFormatting xmlns:xm="http://schemas.microsoft.com/office/excel/2006/main">
          <x14:cfRule type="containsText" priority="9120" operator="containsText" id="{F7CCD3CA-3354-4031-BD33-FBC4EA43E753}">
            <xm:f>NOT(ISERROR(SEARCH($Q$12,AN72)))</xm:f>
            <xm:f>$Q$12</xm:f>
            <x14:dxf>
              <fill>
                <patternFill>
                  <bgColor rgb="FFFFC000"/>
                </patternFill>
              </fill>
            </x14:dxf>
          </x14:cfRule>
          <x14:cfRule type="containsText" priority="9118" operator="containsText" id="{5C59363A-A2B0-4EB9-98F5-6DCD4E6F7484}">
            <xm:f>NOT(ISERROR(SEARCH($Q$12,AN72)))</xm:f>
            <xm:f>$Q$12</xm:f>
            <x14:dxf>
              <fill>
                <patternFill>
                  <bgColor theme="9"/>
                </patternFill>
              </fill>
            </x14:dxf>
          </x14:cfRule>
          <x14:cfRule type="containsText" priority="9117" operator="containsText" id="{CCAE561E-EBD1-4978-9521-D3794C2A04BC}">
            <xm:f>NOT(ISERROR(SEARCH($Q$12,AN72)))</xm:f>
            <xm:f>$Q$12</xm:f>
            <x14:dxf>
              <fill>
                <patternFill>
                  <bgColor theme="9" tint="0.59996337778862885"/>
                </patternFill>
              </fill>
            </x14:dxf>
          </x14:cfRule>
          <x14:cfRule type="containsText" priority="9116" operator="containsText" id="{2D628887-DB83-42FB-9519-977EC486D215}">
            <xm:f>NOT(ISERROR(SEARCH($Q$12,AN72)))</xm:f>
            <xm:f>$Q$12</xm:f>
            <x14:dxf>
              <fill>
                <patternFill>
                  <bgColor rgb="FFFF0000"/>
                </patternFill>
              </fill>
            </x14:dxf>
          </x14:cfRule>
          <x14:cfRule type="containsText" priority="9114" operator="containsText" id="{C03AC878-6B7E-42B7-B3DC-76B31E98A740}">
            <xm:f>NOT(ISERROR(SEARCH($Q$12,AN72)))</xm:f>
            <xm:f>$Q$12</xm:f>
            <x14:dxf>
              <fill>
                <patternFill>
                  <bgColor rgb="FFFFFF00"/>
                </patternFill>
              </fill>
            </x14:dxf>
          </x14:cfRule>
          <x14:cfRule type="containsText" priority="9113" operator="containsText" id="{5A7686F8-329B-412F-B35F-0A8A5BEC576E}">
            <xm:f>NOT(ISERROR(SEARCH($Q$12,AN72)))</xm:f>
            <xm:f>$Q$12</xm:f>
            <x14:dxf>
              <fill>
                <patternFill>
                  <bgColor rgb="FF00B050"/>
                </patternFill>
              </fill>
            </x14:dxf>
          </x14:cfRule>
          <x14:cfRule type="containsText" priority="9112" operator="containsText" id="{FB636D1D-ACA1-4E28-9F87-E559D4F2181C}">
            <xm:f>NOT(ISERROR(SEARCH($Q$12,AN72)))</xm:f>
            <xm:f>$Q$12</xm:f>
            <x14:dxf>
              <fill>
                <patternFill>
                  <bgColor theme="9" tint="0.39994506668294322"/>
                </patternFill>
              </fill>
            </x14:dxf>
          </x14:cfRule>
          <x14:cfRule type="containsText" priority="9111" operator="containsText" id="{AA2AB0F7-48C7-4F9E-A2EC-C2986A5C5C6C}">
            <xm:f>NOT(ISERROR(SEARCH($Q$12,AN72)))</xm:f>
            <xm:f>$Q$12</xm:f>
            <x14:dxf>
              <fill>
                <patternFill>
                  <bgColor theme="9" tint="0.79998168889431442"/>
                </patternFill>
              </fill>
            </x14:dxf>
          </x14:cfRule>
          <x14:cfRule type="containsText" priority="9115" operator="containsText" id="{7B39C041-9DB5-4297-8519-71DF381B4BEB}">
            <xm:f>NOT(ISERROR(SEARCH($Q$12,AN72)))</xm:f>
            <xm:f>$Q$12</xm:f>
            <x14:dxf>
              <fill>
                <patternFill>
                  <bgColor rgb="FFFFC000"/>
                </patternFill>
              </fill>
            </x14:dxf>
          </x14:cfRule>
          <x14:cfRule type="containsText" priority="9110" operator="containsText" id="{A0C17970-7600-4E2A-803C-CE40E2120637}">
            <xm:f>NOT(ISERROR(SEARCH($Q$12,AN72)))</xm:f>
            <xm:f>$Q$12</xm:f>
            <x14:dxf>
              <fill>
                <patternFill>
                  <bgColor rgb="FFFFFF00"/>
                </patternFill>
              </fill>
            </x14:dxf>
          </x14:cfRule>
          <x14:cfRule type="containsText" priority="9121" operator="containsText" id="{5A44829E-69D5-4AAB-B342-F55B52AB7283}">
            <xm:f>NOT(ISERROR(SEARCH($Q$12,AN72)))</xm:f>
            <xm:f>$Q$12</xm:f>
            <x14:dxf>
              <fill>
                <patternFill>
                  <bgColor rgb="FFFF0000"/>
                </patternFill>
              </fill>
            </x14:dxf>
          </x14:cfRule>
          <xm:sqref>AN72</xm:sqref>
        </x14:conditionalFormatting>
        <x14:conditionalFormatting xmlns:xm="http://schemas.microsoft.com/office/excel/2006/main">
          <x14:cfRule type="containsText" priority="8803" operator="containsText" id="{514F48AD-913B-4277-BCFB-0754997A3F66}">
            <xm:f>NOT(ISERROR(SEARCH($Q$12,AN122)))</xm:f>
            <xm:f>$Q$12</xm:f>
            <x14:dxf>
              <fill>
                <patternFill>
                  <bgColor rgb="FFFFC000"/>
                </patternFill>
              </fill>
            </x14:dxf>
          </x14:cfRule>
          <x14:cfRule type="containsText" priority="8804" operator="containsText" id="{AA285F03-94B0-4556-B99D-1D6E79DFC9FE}">
            <xm:f>NOT(ISERROR(SEARCH($Q$12,AN122)))</xm:f>
            <xm:f>$Q$12</xm:f>
            <x14:dxf>
              <fill>
                <patternFill>
                  <bgColor rgb="FFFF0000"/>
                </patternFill>
              </fill>
            </x14:dxf>
          </x14:cfRule>
          <x14:cfRule type="containsText" priority="8809" operator="containsText" id="{B777D1B1-E539-4E49-8208-CED70428D027}">
            <xm:f>NOT(ISERROR(SEARCH($Q$12,AN122)))</xm:f>
            <xm:f>$Q$12</xm:f>
            <x14:dxf>
              <fill>
                <patternFill>
                  <bgColor rgb="FFFF0000"/>
                </patternFill>
              </fill>
            </x14:dxf>
          </x14:cfRule>
          <x14:cfRule type="containsText" priority="8799" operator="containsText" id="{FDECD7BE-1367-4C79-B084-8A02651A091E}">
            <xm:f>NOT(ISERROR(SEARCH($Q$12,AN122)))</xm:f>
            <xm:f>$Q$12</xm:f>
            <x14:dxf>
              <fill>
                <patternFill>
                  <bgColor theme="9" tint="0.79998168889431442"/>
                </patternFill>
              </fill>
            </x14:dxf>
          </x14:cfRule>
          <x14:cfRule type="containsText" priority="8800" operator="containsText" id="{D9A0CF27-4264-4CDD-9E87-EA4A7AD9EFE0}">
            <xm:f>NOT(ISERROR(SEARCH($Q$12,AN122)))</xm:f>
            <xm:f>$Q$12</xm:f>
            <x14:dxf>
              <fill>
                <patternFill>
                  <bgColor theme="9" tint="0.39994506668294322"/>
                </patternFill>
              </fill>
            </x14:dxf>
          </x14:cfRule>
          <x14:cfRule type="containsText" priority="8801" operator="containsText" id="{F3C5AA7D-01E5-425D-AFD0-D56C9FD7A196}">
            <xm:f>NOT(ISERROR(SEARCH($Q$12,AN122)))</xm:f>
            <xm:f>$Q$12</xm:f>
            <x14:dxf>
              <fill>
                <patternFill>
                  <bgColor rgb="FF00B050"/>
                </patternFill>
              </fill>
            </x14:dxf>
          </x14:cfRule>
          <x14:cfRule type="containsText" priority="8806" operator="containsText" id="{0952A053-5CCA-42FD-A1FC-718EEDBF89FB}">
            <xm:f>NOT(ISERROR(SEARCH($Q$12,AN122)))</xm:f>
            <xm:f>$Q$12</xm:f>
            <x14:dxf>
              <fill>
                <patternFill>
                  <bgColor theme="9"/>
                </patternFill>
              </fill>
            </x14:dxf>
          </x14:cfRule>
          <x14:cfRule type="containsText" priority="8808" operator="containsText" id="{819758EF-BAC1-47ED-841C-99DA9E41F8D5}">
            <xm:f>NOT(ISERROR(SEARCH($Q$12,AN122)))</xm:f>
            <xm:f>$Q$12</xm:f>
            <x14:dxf>
              <fill>
                <patternFill>
                  <bgColor rgb="FFFFC000"/>
                </patternFill>
              </fill>
            </x14:dxf>
          </x14:cfRule>
          <x14:cfRule type="containsText" priority="8798" operator="containsText" id="{2EE6A41E-4355-4F84-9C7C-4C21DCBC752D}">
            <xm:f>NOT(ISERROR(SEARCH($Q$12,AN122)))</xm:f>
            <xm:f>$Q$12</xm:f>
            <x14:dxf>
              <fill>
                <patternFill>
                  <bgColor rgb="FFFFFF00"/>
                </patternFill>
              </fill>
            </x14:dxf>
          </x14:cfRule>
          <x14:cfRule type="containsText" priority="8805" operator="containsText" id="{DE79ADC4-FB1B-4849-83DF-E996CA5C73D3}">
            <xm:f>NOT(ISERROR(SEARCH($Q$12,AN122)))</xm:f>
            <xm:f>$Q$12</xm:f>
            <x14:dxf>
              <fill>
                <patternFill>
                  <bgColor theme="9" tint="0.59996337778862885"/>
                </patternFill>
              </fill>
            </x14:dxf>
          </x14:cfRule>
          <x14:cfRule type="containsText" priority="8802" operator="containsText" id="{29EE5F67-7523-4D55-ADBD-640C0B7BAF26}">
            <xm:f>NOT(ISERROR(SEARCH($Q$12,AN122)))</xm:f>
            <xm:f>$Q$12</xm:f>
            <x14:dxf>
              <fill>
                <patternFill>
                  <bgColor rgb="FFFFFF00"/>
                </patternFill>
              </fill>
            </x14:dxf>
          </x14:cfRule>
          <xm:sqref>AN122</xm:sqref>
        </x14:conditionalFormatting>
        <x14:conditionalFormatting xmlns:xm="http://schemas.microsoft.com/office/excel/2006/main">
          <x14:cfRule type="containsText" priority="8494" operator="containsText" id="{C71DBCF9-458E-42EA-9D36-3FB199565FAF}">
            <xm:f>NOT(ISERROR(SEARCH($Q$12,AN152)))</xm:f>
            <xm:f>$Q$12</xm:f>
            <x14:dxf>
              <fill>
                <patternFill>
                  <bgColor rgb="FFFFFF00"/>
                </patternFill>
              </fill>
            </x14:dxf>
          </x14:cfRule>
          <x14:cfRule type="containsText" priority="8493" operator="containsText" id="{C523BDDB-0C3B-4560-88C8-C2672BAAB567}">
            <xm:f>NOT(ISERROR(SEARCH($Q$12,AN152)))</xm:f>
            <xm:f>$Q$12</xm:f>
            <x14:dxf>
              <fill>
                <patternFill>
                  <bgColor rgb="FF00B050"/>
                </patternFill>
              </fill>
            </x14:dxf>
          </x14:cfRule>
          <x14:cfRule type="containsText" priority="8492" operator="containsText" id="{E328BB16-26CB-4EFB-9080-B7B1F1F8B298}">
            <xm:f>NOT(ISERROR(SEARCH($Q$12,AN152)))</xm:f>
            <xm:f>$Q$12</xm:f>
            <x14:dxf>
              <fill>
                <patternFill>
                  <bgColor theme="9" tint="0.39994506668294322"/>
                </patternFill>
              </fill>
            </x14:dxf>
          </x14:cfRule>
          <x14:cfRule type="containsText" priority="8491" operator="containsText" id="{7B0C05AE-642A-4B19-94D9-1A5349F85337}">
            <xm:f>NOT(ISERROR(SEARCH($Q$12,AN152)))</xm:f>
            <xm:f>$Q$12</xm:f>
            <x14:dxf>
              <fill>
                <patternFill>
                  <bgColor theme="9" tint="0.79998168889431442"/>
                </patternFill>
              </fill>
            </x14:dxf>
          </x14:cfRule>
          <x14:cfRule type="containsText" priority="8500" operator="containsText" id="{3D777F60-F44B-49A0-8138-25C2C53DE229}">
            <xm:f>NOT(ISERROR(SEARCH($Q$12,AN152)))</xm:f>
            <xm:f>$Q$12</xm:f>
            <x14:dxf>
              <fill>
                <patternFill>
                  <bgColor rgb="FFFFC000"/>
                </patternFill>
              </fill>
            </x14:dxf>
          </x14:cfRule>
          <x14:cfRule type="containsText" priority="8495" operator="containsText" id="{8D1EC688-58DD-4B77-874A-46EB875122BF}">
            <xm:f>NOT(ISERROR(SEARCH($Q$12,AN152)))</xm:f>
            <xm:f>$Q$12</xm:f>
            <x14:dxf>
              <fill>
                <patternFill>
                  <bgColor rgb="FFFFC000"/>
                </patternFill>
              </fill>
            </x14:dxf>
          </x14:cfRule>
          <x14:cfRule type="containsText" priority="8490" operator="containsText" id="{1C140EF9-78F6-4F2D-81EF-0DD63546CFE8}">
            <xm:f>NOT(ISERROR(SEARCH($Q$12,AN152)))</xm:f>
            <xm:f>$Q$12</xm:f>
            <x14:dxf>
              <fill>
                <patternFill>
                  <bgColor rgb="FFFFFF00"/>
                </patternFill>
              </fill>
            </x14:dxf>
          </x14:cfRule>
          <x14:cfRule type="containsText" priority="8497" operator="containsText" id="{EE122B05-50CC-4689-961B-AB15B55A5E62}">
            <xm:f>NOT(ISERROR(SEARCH($Q$12,AN152)))</xm:f>
            <xm:f>$Q$12</xm:f>
            <x14:dxf>
              <fill>
                <patternFill>
                  <bgColor theme="9" tint="0.59996337778862885"/>
                </patternFill>
              </fill>
            </x14:dxf>
          </x14:cfRule>
          <x14:cfRule type="containsText" priority="8496" operator="containsText" id="{3755C549-DD13-448B-B68A-56590B1FEF42}">
            <xm:f>NOT(ISERROR(SEARCH($Q$12,AN152)))</xm:f>
            <xm:f>$Q$12</xm:f>
            <x14:dxf>
              <fill>
                <patternFill>
                  <bgColor rgb="FFFF0000"/>
                </patternFill>
              </fill>
            </x14:dxf>
          </x14:cfRule>
          <x14:cfRule type="containsText" priority="8498" operator="containsText" id="{8153A2C0-BFA2-4477-B391-2BC9C3772D6B}">
            <xm:f>NOT(ISERROR(SEARCH($Q$12,AN152)))</xm:f>
            <xm:f>$Q$12</xm:f>
            <x14:dxf>
              <fill>
                <patternFill>
                  <bgColor theme="9"/>
                </patternFill>
              </fill>
            </x14:dxf>
          </x14:cfRule>
          <x14:cfRule type="containsText" priority="8501" operator="containsText" id="{A08001FB-A010-437B-96F5-4E08B95461B9}">
            <xm:f>NOT(ISERROR(SEARCH($Q$12,AN152)))</xm:f>
            <xm:f>$Q$12</xm:f>
            <x14:dxf>
              <fill>
                <patternFill>
                  <bgColor rgb="FFFF0000"/>
                </patternFill>
              </fill>
            </x14:dxf>
          </x14:cfRule>
          <xm:sqref>AN152</xm:sqref>
        </x14:conditionalFormatting>
        <x14:conditionalFormatting xmlns:xm="http://schemas.microsoft.com/office/excel/2006/main">
          <x14:cfRule type="containsText" priority="8182" operator="containsText" id="{8A7F1C4D-06B4-4D0B-BF84-83187003AFAD}">
            <xm:f>NOT(ISERROR(SEARCH($Q$12,AN182)))</xm:f>
            <xm:f>$Q$12</xm:f>
            <x14:dxf>
              <fill>
                <patternFill>
                  <bgColor rgb="FFFFFF00"/>
                </patternFill>
              </fill>
            </x14:dxf>
          </x14:cfRule>
          <x14:cfRule type="containsText" priority="8183" operator="containsText" id="{3EB38EAD-BA84-4345-AEA1-75801EE580B8}">
            <xm:f>NOT(ISERROR(SEARCH($Q$12,AN182)))</xm:f>
            <xm:f>$Q$12</xm:f>
            <x14:dxf>
              <fill>
                <patternFill>
                  <bgColor theme="9" tint="0.79998168889431442"/>
                </patternFill>
              </fill>
            </x14:dxf>
          </x14:cfRule>
          <x14:cfRule type="containsText" priority="8184" operator="containsText" id="{D51F2906-A0EB-4739-AE0F-BAF2DA0773E5}">
            <xm:f>NOT(ISERROR(SEARCH($Q$12,AN182)))</xm:f>
            <xm:f>$Q$12</xm:f>
            <x14:dxf>
              <fill>
                <patternFill>
                  <bgColor theme="9" tint="0.39994506668294322"/>
                </patternFill>
              </fill>
            </x14:dxf>
          </x14:cfRule>
          <x14:cfRule type="containsText" priority="8192" operator="containsText" id="{217B9894-9A98-4383-A91D-13D8D9BD04ED}">
            <xm:f>NOT(ISERROR(SEARCH($Q$12,AN182)))</xm:f>
            <xm:f>$Q$12</xm:f>
            <x14:dxf>
              <fill>
                <patternFill>
                  <bgColor rgb="FFFFC000"/>
                </patternFill>
              </fill>
            </x14:dxf>
          </x14:cfRule>
          <x14:cfRule type="containsText" priority="8185" operator="containsText" id="{EA3EA204-6573-4819-8C30-3E6688706F59}">
            <xm:f>NOT(ISERROR(SEARCH($Q$12,AN182)))</xm:f>
            <xm:f>$Q$12</xm:f>
            <x14:dxf>
              <fill>
                <patternFill>
                  <bgColor rgb="FF00B050"/>
                </patternFill>
              </fill>
            </x14:dxf>
          </x14:cfRule>
          <x14:cfRule type="containsText" priority="8193" operator="containsText" id="{9A720CEE-136B-48D0-9326-914DA467C3AF}">
            <xm:f>NOT(ISERROR(SEARCH($Q$12,AN182)))</xm:f>
            <xm:f>$Q$12</xm:f>
            <x14:dxf>
              <fill>
                <patternFill>
                  <bgColor rgb="FFFF0000"/>
                </patternFill>
              </fill>
            </x14:dxf>
          </x14:cfRule>
          <x14:cfRule type="containsText" priority="8189" operator="containsText" id="{17C5A40F-869C-4DBB-9F8A-714E4D2FAB24}">
            <xm:f>NOT(ISERROR(SEARCH($Q$12,AN182)))</xm:f>
            <xm:f>$Q$12</xm:f>
            <x14:dxf>
              <fill>
                <patternFill>
                  <bgColor theme="9" tint="0.59996337778862885"/>
                </patternFill>
              </fill>
            </x14:dxf>
          </x14:cfRule>
          <x14:cfRule type="containsText" priority="8186" operator="containsText" id="{104100DF-1821-4C35-A6D2-C27F64FD0AD6}">
            <xm:f>NOT(ISERROR(SEARCH($Q$12,AN182)))</xm:f>
            <xm:f>$Q$12</xm:f>
            <x14:dxf>
              <fill>
                <patternFill>
                  <bgColor rgb="FFFFFF00"/>
                </patternFill>
              </fill>
            </x14:dxf>
          </x14:cfRule>
          <x14:cfRule type="containsText" priority="8187" operator="containsText" id="{D8C4B40E-C09C-469F-9A9E-B2FAD6F23528}">
            <xm:f>NOT(ISERROR(SEARCH($Q$12,AN182)))</xm:f>
            <xm:f>$Q$12</xm:f>
            <x14:dxf>
              <fill>
                <patternFill>
                  <bgColor rgb="FFFFC000"/>
                </patternFill>
              </fill>
            </x14:dxf>
          </x14:cfRule>
          <x14:cfRule type="containsText" priority="8188" operator="containsText" id="{4E407AF0-BEE3-428E-A8C4-2A9AAF9754D7}">
            <xm:f>NOT(ISERROR(SEARCH($Q$12,AN182)))</xm:f>
            <xm:f>$Q$12</xm:f>
            <x14:dxf>
              <fill>
                <patternFill>
                  <bgColor rgb="FFFF0000"/>
                </patternFill>
              </fill>
            </x14:dxf>
          </x14:cfRule>
          <x14:cfRule type="containsText" priority="8190" operator="containsText" id="{0AA010AB-E232-4AE1-BBEA-F2B46B860C06}">
            <xm:f>NOT(ISERROR(SEARCH($Q$12,AN182)))</xm:f>
            <xm:f>$Q$12</xm:f>
            <x14:dxf>
              <fill>
                <patternFill>
                  <bgColor theme="9"/>
                </patternFill>
              </fill>
            </x14:dxf>
          </x14:cfRule>
          <xm:sqref>AN182</xm:sqref>
        </x14:conditionalFormatting>
        <x14:conditionalFormatting xmlns:xm="http://schemas.microsoft.com/office/excel/2006/main">
          <x14:cfRule type="containsText" priority="7254" operator="containsText" id="{D284E9C2-0BCF-4DAB-AA3D-AAD680DF2F7D}">
            <xm:f>NOT(ISERROR(SEARCH($Q$12,AN212)))</xm:f>
            <xm:f>$Q$12</xm:f>
            <x14:dxf>
              <fill>
                <patternFill>
                  <bgColor rgb="FFFFC000"/>
                </patternFill>
              </fill>
            </x14:dxf>
          </x14:cfRule>
          <x14:cfRule type="containsText" priority="7252" operator="containsText" id="{DB69BCE3-D2B0-4CC4-8B24-7EB1D09AA5E9}">
            <xm:f>NOT(ISERROR(SEARCH($Q$12,AN212)))</xm:f>
            <xm:f>$Q$12</xm:f>
            <x14:dxf>
              <fill>
                <patternFill>
                  <bgColor theme="9"/>
                </patternFill>
              </fill>
            </x14:dxf>
          </x14:cfRule>
          <x14:cfRule type="containsText" priority="7248" operator="containsText" id="{65F96D82-97B5-4039-9980-0F416BF48B54}">
            <xm:f>NOT(ISERROR(SEARCH($Q$12,AN212)))</xm:f>
            <xm:f>$Q$12</xm:f>
            <x14:dxf>
              <fill>
                <patternFill>
                  <bgColor rgb="FFFFFF00"/>
                </patternFill>
              </fill>
            </x14:dxf>
          </x14:cfRule>
          <x14:cfRule type="containsText" priority="7255" operator="containsText" id="{162664FB-79C2-4112-ACDB-2EACDA4655D1}">
            <xm:f>NOT(ISERROR(SEARCH($Q$12,AN212)))</xm:f>
            <xm:f>$Q$12</xm:f>
            <x14:dxf>
              <fill>
                <patternFill>
                  <bgColor rgb="FFFF0000"/>
                </patternFill>
              </fill>
            </x14:dxf>
          </x14:cfRule>
          <x14:cfRule type="containsText" priority="7244" operator="containsText" id="{A6D6EF60-4A35-4655-B719-B57F77C73BD9}">
            <xm:f>NOT(ISERROR(SEARCH($Q$12,AN212)))</xm:f>
            <xm:f>$Q$12</xm:f>
            <x14:dxf>
              <fill>
                <patternFill>
                  <bgColor rgb="FFFFFF00"/>
                </patternFill>
              </fill>
            </x14:dxf>
          </x14:cfRule>
          <x14:cfRule type="containsText" priority="7245" operator="containsText" id="{91947ECB-CF18-4DB1-A876-9EFCC291D95B}">
            <xm:f>NOT(ISERROR(SEARCH($Q$12,AN212)))</xm:f>
            <xm:f>$Q$12</xm:f>
            <x14:dxf>
              <fill>
                <patternFill>
                  <bgColor theme="9" tint="0.79998168889431442"/>
                </patternFill>
              </fill>
            </x14:dxf>
          </x14:cfRule>
          <x14:cfRule type="containsText" priority="7246" operator="containsText" id="{54A74778-DDF6-4A65-8D0E-8C4C9A0291A5}">
            <xm:f>NOT(ISERROR(SEARCH($Q$12,AN212)))</xm:f>
            <xm:f>$Q$12</xm:f>
            <x14:dxf>
              <fill>
                <patternFill>
                  <bgColor theme="9" tint="0.39994506668294322"/>
                </patternFill>
              </fill>
            </x14:dxf>
          </x14:cfRule>
          <x14:cfRule type="containsText" priority="7247" operator="containsText" id="{B5A7C7CE-CE16-4B71-A578-F624019DE7B7}">
            <xm:f>NOT(ISERROR(SEARCH($Q$12,AN212)))</xm:f>
            <xm:f>$Q$12</xm:f>
            <x14:dxf>
              <fill>
                <patternFill>
                  <bgColor rgb="FF00B050"/>
                </patternFill>
              </fill>
            </x14:dxf>
          </x14:cfRule>
          <x14:cfRule type="containsText" priority="7249" operator="containsText" id="{7EBB483D-227F-42CC-98C7-07AE3557F73E}">
            <xm:f>NOT(ISERROR(SEARCH($Q$12,AN212)))</xm:f>
            <xm:f>$Q$12</xm:f>
            <x14:dxf>
              <fill>
                <patternFill>
                  <bgColor rgb="FFFFC000"/>
                </patternFill>
              </fill>
            </x14:dxf>
          </x14:cfRule>
          <x14:cfRule type="containsText" priority="7250" operator="containsText" id="{8062AF2A-9EC4-4A91-95F8-4D3216F2249C}">
            <xm:f>NOT(ISERROR(SEARCH($Q$12,AN212)))</xm:f>
            <xm:f>$Q$12</xm:f>
            <x14:dxf>
              <fill>
                <patternFill>
                  <bgColor rgb="FFFF0000"/>
                </patternFill>
              </fill>
            </x14:dxf>
          </x14:cfRule>
          <x14:cfRule type="containsText" priority="7251" operator="containsText" id="{4BB6780A-414E-4821-808F-C90A7E1C0BDF}">
            <xm:f>NOT(ISERROR(SEARCH($Q$12,AN212)))</xm:f>
            <xm:f>$Q$12</xm:f>
            <x14:dxf>
              <fill>
                <patternFill>
                  <bgColor theme="9" tint="0.59996337778862885"/>
                </patternFill>
              </fill>
            </x14:dxf>
          </x14:cfRule>
          <xm:sqref>AN212</xm:sqref>
        </x14:conditionalFormatting>
        <x14:conditionalFormatting xmlns:xm="http://schemas.microsoft.com/office/excel/2006/main">
          <x14:cfRule type="containsText" priority="6717" operator="containsText" id="{48BF80A3-6ADE-4554-B998-E5960FAAF7BA}">
            <xm:f>NOT(ISERROR(SEARCH($Q$12,AN322)))</xm:f>
            <xm:f>$Q$12</xm:f>
            <x14:dxf>
              <fill>
                <patternFill>
                  <bgColor theme="9" tint="0.59996337778862885"/>
                </patternFill>
              </fill>
            </x14:dxf>
          </x14:cfRule>
          <x14:cfRule type="containsText" priority="6715" operator="containsText" id="{579C12DD-8180-41AD-ABCE-365BA77A7E0A}">
            <xm:f>NOT(ISERROR(SEARCH($Q$12,AN322)))</xm:f>
            <xm:f>$Q$12</xm:f>
            <x14:dxf>
              <fill>
                <patternFill>
                  <bgColor rgb="FFFFC000"/>
                </patternFill>
              </fill>
            </x14:dxf>
          </x14:cfRule>
          <x14:cfRule type="containsText" priority="6713" operator="containsText" id="{0CB0A201-3687-4935-8AAD-AECC76E25247}">
            <xm:f>NOT(ISERROR(SEARCH($Q$12,AN322)))</xm:f>
            <xm:f>$Q$12</xm:f>
            <x14:dxf>
              <fill>
                <patternFill>
                  <bgColor rgb="FF00B050"/>
                </patternFill>
              </fill>
            </x14:dxf>
          </x14:cfRule>
          <x14:cfRule type="containsText" priority="6712" operator="containsText" id="{77FC5690-01C3-44AE-A0EF-A67E832C58F1}">
            <xm:f>NOT(ISERROR(SEARCH($Q$12,AN322)))</xm:f>
            <xm:f>$Q$12</xm:f>
            <x14:dxf>
              <fill>
                <patternFill>
                  <bgColor theme="9" tint="0.39994506668294322"/>
                </patternFill>
              </fill>
            </x14:dxf>
          </x14:cfRule>
          <x14:cfRule type="containsText" priority="6720" operator="containsText" id="{A7F5164F-D0EF-41A2-90B0-62D87E0E2B1D}">
            <xm:f>NOT(ISERROR(SEARCH($Q$12,AN322)))</xm:f>
            <xm:f>$Q$12</xm:f>
            <x14:dxf>
              <fill>
                <patternFill>
                  <bgColor rgb="FFFFC000"/>
                </patternFill>
              </fill>
            </x14:dxf>
          </x14:cfRule>
          <x14:cfRule type="containsText" priority="6711" operator="containsText" id="{4D5FE9F2-7733-45F1-982E-2A2D9A170855}">
            <xm:f>NOT(ISERROR(SEARCH($Q$12,AN322)))</xm:f>
            <xm:f>$Q$12</xm:f>
            <x14:dxf>
              <fill>
                <patternFill>
                  <bgColor theme="9" tint="0.79998168889431442"/>
                </patternFill>
              </fill>
            </x14:dxf>
          </x14:cfRule>
          <x14:cfRule type="containsText" priority="6710" operator="containsText" id="{C540C85A-9EFE-4B7E-962D-C4107EF60D97}">
            <xm:f>NOT(ISERROR(SEARCH($Q$12,AN322)))</xm:f>
            <xm:f>$Q$12</xm:f>
            <x14:dxf>
              <fill>
                <patternFill>
                  <bgColor rgb="FFFFFF00"/>
                </patternFill>
              </fill>
            </x14:dxf>
          </x14:cfRule>
          <x14:cfRule type="containsText" priority="6721" operator="containsText" id="{ADC55374-B355-4465-92E2-EF6D889E5923}">
            <xm:f>NOT(ISERROR(SEARCH($Q$12,AN322)))</xm:f>
            <xm:f>$Q$12</xm:f>
            <x14:dxf>
              <fill>
                <patternFill>
                  <bgColor rgb="FFFF0000"/>
                </patternFill>
              </fill>
            </x14:dxf>
          </x14:cfRule>
          <x14:cfRule type="containsText" priority="6716" operator="containsText" id="{60EF6A99-0B3B-4D9B-9CE0-9A3219217D5D}">
            <xm:f>NOT(ISERROR(SEARCH($Q$12,AN322)))</xm:f>
            <xm:f>$Q$12</xm:f>
            <x14:dxf>
              <fill>
                <patternFill>
                  <bgColor rgb="FFFF0000"/>
                </patternFill>
              </fill>
            </x14:dxf>
          </x14:cfRule>
          <x14:cfRule type="containsText" priority="6718" operator="containsText" id="{49C146E1-A6E8-4F00-AB07-9154B1AE4BB9}">
            <xm:f>NOT(ISERROR(SEARCH($Q$12,AN322)))</xm:f>
            <xm:f>$Q$12</xm:f>
            <x14:dxf>
              <fill>
                <patternFill>
                  <bgColor theme="9"/>
                </patternFill>
              </fill>
            </x14:dxf>
          </x14:cfRule>
          <x14:cfRule type="containsText" priority="6714" operator="containsText" id="{A9C3A26B-3407-4332-A7B3-316887CC11D4}">
            <xm:f>NOT(ISERROR(SEARCH($Q$12,AN322)))</xm:f>
            <xm:f>$Q$12</xm:f>
            <x14:dxf>
              <fill>
                <patternFill>
                  <bgColor rgb="FFFFFF00"/>
                </patternFill>
              </fill>
            </x14:dxf>
          </x14:cfRule>
          <xm:sqref>AN322</xm:sqref>
        </x14:conditionalFormatting>
        <x14:conditionalFormatting xmlns:xm="http://schemas.microsoft.com/office/excel/2006/main">
          <x14:cfRule type="containsText" priority="6323" operator="containsText" id="{12DEC12A-3AA3-4D54-B558-48EBA3F0DFFE}">
            <xm:f>NOT(ISERROR(SEARCH($Q$12,AN362)))</xm:f>
            <xm:f>$Q$12</xm:f>
            <x14:dxf>
              <fill>
                <patternFill>
                  <bgColor rgb="FFFF0000"/>
                </patternFill>
              </fill>
            </x14:dxf>
          </x14:cfRule>
          <x14:cfRule type="containsText" priority="6322" operator="containsText" id="{ABC762D0-D5BE-4D7F-B153-6191B9C38D48}">
            <xm:f>NOT(ISERROR(SEARCH($Q$12,AN362)))</xm:f>
            <xm:f>$Q$12</xm:f>
            <x14:dxf>
              <fill>
                <patternFill>
                  <bgColor rgb="FFFFC000"/>
                </patternFill>
              </fill>
            </x14:dxf>
          </x14:cfRule>
          <x14:cfRule type="containsText" priority="6320" operator="containsText" id="{795701A6-F763-4E05-84DC-C86CEF4F8C6B}">
            <xm:f>NOT(ISERROR(SEARCH($Q$12,AN362)))</xm:f>
            <xm:f>$Q$12</xm:f>
            <x14:dxf>
              <fill>
                <patternFill>
                  <bgColor theme="9"/>
                </patternFill>
              </fill>
            </x14:dxf>
          </x14:cfRule>
          <x14:cfRule type="containsText" priority="6319" operator="containsText" id="{ACAB4ACF-1A0A-44CC-8A2E-8862EED26BE5}">
            <xm:f>NOT(ISERROR(SEARCH($Q$12,AN362)))</xm:f>
            <xm:f>$Q$12</xm:f>
            <x14:dxf>
              <fill>
                <patternFill>
                  <bgColor theme="9" tint="0.59996337778862885"/>
                </patternFill>
              </fill>
            </x14:dxf>
          </x14:cfRule>
          <x14:cfRule type="containsText" priority="6318" operator="containsText" id="{1B4269F3-B2C0-4C91-BBAE-4DE5AB77D24D}">
            <xm:f>NOT(ISERROR(SEARCH($Q$12,AN362)))</xm:f>
            <xm:f>$Q$12</xm:f>
            <x14:dxf>
              <fill>
                <patternFill>
                  <bgColor rgb="FFFF0000"/>
                </patternFill>
              </fill>
            </x14:dxf>
          </x14:cfRule>
          <x14:cfRule type="containsText" priority="6317" operator="containsText" id="{778338C1-FF08-4798-9803-2E56D253924F}">
            <xm:f>NOT(ISERROR(SEARCH($Q$12,AN362)))</xm:f>
            <xm:f>$Q$12</xm:f>
            <x14:dxf>
              <fill>
                <patternFill>
                  <bgColor rgb="FFFFC000"/>
                </patternFill>
              </fill>
            </x14:dxf>
          </x14:cfRule>
          <x14:cfRule type="containsText" priority="6316" operator="containsText" id="{E014F256-FA54-4999-A0CC-9D6645D34E2A}">
            <xm:f>NOT(ISERROR(SEARCH($Q$12,AN362)))</xm:f>
            <xm:f>$Q$12</xm:f>
            <x14:dxf>
              <fill>
                <patternFill>
                  <bgColor rgb="FFFFFF00"/>
                </patternFill>
              </fill>
            </x14:dxf>
          </x14:cfRule>
          <x14:cfRule type="containsText" priority="6315" operator="containsText" id="{C5D37611-CB60-4FC0-9E60-C1C932816169}">
            <xm:f>NOT(ISERROR(SEARCH($Q$12,AN362)))</xm:f>
            <xm:f>$Q$12</xm:f>
            <x14:dxf>
              <fill>
                <patternFill>
                  <bgColor rgb="FF00B050"/>
                </patternFill>
              </fill>
            </x14:dxf>
          </x14:cfRule>
          <x14:cfRule type="containsText" priority="6314" operator="containsText" id="{58388816-DA50-417E-80DB-AA571D5B13B3}">
            <xm:f>NOT(ISERROR(SEARCH($Q$12,AN362)))</xm:f>
            <xm:f>$Q$12</xm:f>
            <x14:dxf>
              <fill>
                <patternFill>
                  <bgColor theme="9" tint="0.39994506668294322"/>
                </patternFill>
              </fill>
            </x14:dxf>
          </x14:cfRule>
          <x14:cfRule type="containsText" priority="6313" operator="containsText" id="{967E4C12-C2F5-4544-8BC5-3F72E396E8BF}">
            <xm:f>NOT(ISERROR(SEARCH($Q$12,AN362)))</xm:f>
            <xm:f>$Q$12</xm:f>
            <x14:dxf>
              <fill>
                <patternFill>
                  <bgColor theme="9" tint="0.79998168889431442"/>
                </patternFill>
              </fill>
            </x14:dxf>
          </x14:cfRule>
          <x14:cfRule type="containsText" priority="6312" operator="containsText" id="{59847020-2AD0-420D-BD35-7D672BD647B1}">
            <xm:f>NOT(ISERROR(SEARCH($Q$12,AN362)))</xm:f>
            <xm:f>$Q$12</xm:f>
            <x14:dxf>
              <fill>
                <patternFill>
                  <bgColor rgb="FFFFFF00"/>
                </patternFill>
              </fill>
            </x14:dxf>
          </x14:cfRule>
          <xm:sqref>AN362</xm:sqref>
        </x14:conditionalFormatting>
        <x14:conditionalFormatting xmlns:xm="http://schemas.microsoft.com/office/excel/2006/main">
          <x14:cfRule type="containsText" priority="6094" operator="containsText" id="{C34CF065-B1E2-45E1-819C-FA712F7A3C68}">
            <xm:f>NOT(ISERROR(SEARCH($Q$12,AN402)))</xm:f>
            <xm:f>$Q$12</xm:f>
            <x14:dxf>
              <fill>
                <patternFill>
                  <bgColor rgb="FFFFFF00"/>
                </patternFill>
              </fill>
            </x14:dxf>
          </x14:cfRule>
          <x14:cfRule type="containsText" priority="6095" operator="containsText" id="{32629EA9-93FE-41C2-A93D-783EB20E9E5E}">
            <xm:f>NOT(ISERROR(SEARCH($Q$12,AN402)))</xm:f>
            <xm:f>$Q$12</xm:f>
            <x14:dxf>
              <fill>
                <patternFill>
                  <bgColor theme="9" tint="0.79998168889431442"/>
                </patternFill>
              </fill>
            </x14:dxf>
          </x14:cfRule>
          <x14:cfRule type="containsText" priority="6096" operator="containsText" id="{EEB90B13-B373-4348-9B2A-030D3395BCAB}">
            <xm:f>NOT(ISERROR(SEARCH($Q$12,AN402)))</xm:f>
            <xm:f>$Q$12</xm:f>
            <x14:dxf>
              <fill>
                <patternFill>
                  <bgColor theme="9" tint="0.39994506668294322"/>
                </patternFill>
              </fill>
            </x14:dxf>
          </x14:cfRule>
          <x14:cfRule type="containsText" priority="6101" operator="containsText" id="{64377F4C-F1B6-42BF-8CEE-57B36BA5469E}">
            <xm:f>NOT(ISERROR(SEARCH($Q$12,AN402)))</xm:f>
            <xm:f>$Q$12</xm:f>
            <x14:dxf>
              <fill>
                <patternFill>
                  <bgColor theme="9" tint="0.59996337778862885"/>
                </patternFill>
              </fill>
            </x14:dxf>
          </x14:cfRule>
          <x14:cfRule type="containsText" priority="6102" operator="containsText" id="{0570F3E7-C5F0-497B-BA72-AA13A1622C33}">
            <xm:f>NOT(ISERROR(SEARCH($Q$12,AN402)))</xm:f>
            <xm:f>$Q$12</xm:f>
            <x14:dxf>
              <fill>
                <patternFill>
                  <bgColor theme="9"/>
                </patternFill>
              </fill>
            </x14:dxf>
          </x14:cfRule>
          <x14:cfRule type="containsText" priority="6104" operator="containsText" id="{0ED3E65A-74E0-47C8-8EE1-1E3507A7B00F}">
            <xm:f>NOT(ISERROR(SEARCH($Q$12,AN402)))</xm:f>
            <xm:f>$Q$12</xm:f>
            <x14:dxf>
              <fill>
                <patternFill>
                  <bgColor rgb="FFFFC000"/>
                </patternFill>
              </fill>
            </x14:dxf>
          </x14:cfRule>
          <x14:cfRule type="containsText" priority="6097" operator="containsText" id="{4F42F5B2-0B46-4CB4-889A-E9B2AE750D48}">
            <xm:f>NOT(ISERROR(SEARCH($Q$12,AN402)))</xm:f>
            <xm:f>$Q$12</xm:f>
            <x14:dxf>
              <fill>
                <patternFill>
                  <bgColor rgb="FF00B050"/>
                </patternFill>
              </fill>
            </x14:dxf>
          </x14:cfRule>
          <x14:cfRule type="containsText" priority="6105" operator="containsText" id="{A67C424D-D093-4616-9EC8-0A79947CE737}">
            <xm:f>NOT(ISERROR(SEARCH($Q$12,AN402)))</xm:f>
            <xm:f>$Q$12</xm:f>
            <x14:dxf>
              <fill>
                <patternFill>
                  <bgColor rgb="FFFF0000"/>
                </patternFill>
              </fill>
            </x14:dxf>
          </x14:cfRule>
          <x14:cfRule type="containsText" priority="6098" operator="containsText" id="{5A4A1328-D9B4-4F2C-ADC4-30F4262872F7}">
            <xm:f>NOT(ISERROR(SEARCH($Q$12,AN402)))</xm:f>
            <xm:f>$Q$12</xm:f>
            <x14:dxf>
              <fill>
                <patternFill>
                  <bgColor rgb="FFFFFF00"/>
                </patternFill>
              </fill>
            </x14:dxf>
          </x14:cfRule>
          <x14:cfRule type="containsText" priority="6099" operator="containsText" id="{38A9ECDE-8838-4261-BB82-453000D2DD35}">
            <xm:f>NOT(ISERROR(SEARCH($Q$12,AN402)))</xm:f>
            <xm:f>$Q$12</xm:f>
            <x14:dxf>
              <fill>
                <patternFill>
                  <bgColor rgb="FFFFC000"/>
                </patternFill>
              </fill>
            </x14:dxf>
          </x14:cfRule>
          <x14:cfRule type="containsText" priority="6100" operator="containsText" id="{DF32E9E3-4535-481C-A0D3-360C5E68872C}">
            <xm:f>NOT(ISERROR(SEARCH($Q$12,AN402)))</xm:f>
            <xm:f>$Q$12</xm:f>
            <x14:dxf>
              <fill>
                <patternFill>
                  <bgColor rgb="FFFF0000"/>
                </patternFill>
              </fill>
            </x14:dxf>
          </x14:cfRule>
          <xm:sqref>AN402</xm:sqref>
        </x14:conditionalFormatting>
        <x14:conditionalFormatting xmlns:xm="http://schemas.microsoft.com/office/excel/2006/main">
          <x14:cfRule type="containsText" priority="5876" operator="containsText" id="{151BCFF6-08DF-497A-9B4A-AD8EF509AB8F}">
            <xm:f>NOT(ISERROR(SEARCH($Q$12,AN422)))</xm:f>
            <xm:f>$Q$12</xm:f>
            <x14:dxf>
              <fill>
                <patternFill>
                  <bgColor rgb="FFFFFF00"/>
                </patternFill>
              </fill>
            </x14:dxf>
          </x14:cfRule>
          <x14:cfRule type="containsText" priority="5881" operator="containsText" id="{1B13FBF6-022C-4622-8FF4-D363F8C108AB}">
            <xm:f>NOT(ISERROR(SEARCH($Q$12,AN422)))</xm:f>
            <xm:f>$Q$12</xm:f>
            <x14:dxf>
              <fill>
                <patternFill>
                  <bgColor rgb="FFFFC000"/>
                </patternFill>
              </fill>
            </x14:dxf>
          </x14:cfRule>
          <x14:cfRule type="containsText" priority="5878" operator="containsText" id="{52EA71E2-9060-4919-952F-092525B0E542}">
            <xm:f>NOT(ISERROR(SEARCH($Q$12,AN422)))</xm:f>
            <xm:f>$Q$12</xm:f>
            <x14:dxf>
              <fill>
                <patternFill>
                  <bgColor theme="9" tint="0.39994506668294322"/>
                </patternFill>
              </fill>
            </x14:dxf>
          </x14:cfRule>
          <x14:cfRule type="containsText" priority="5879" operator="containsText" id="{82763373-D949-4056-A1C3-E108B8EB460B}">
            <xm:f>NOT(ISERROR(SEARCH($Q$12,AN422)))</xm:f>
            <xm:f>$Q$12</xm:f>
            <x14:dxf>
              <fill>
                <patternFill>
                  <bgColor rgb="FF00B050"/>
                </patternFill>
              </fill>
            </x14:dxf>
          </x14:cfRule>
          <x14:cfRule type="containsText" priority="5882" operator="containsText" id="{ACC94085-5890-45A5-8978-775EF05ECAF6}">
            <xm:f>NOT(ISERROR(SEARCH($Q$12,AN422)))</xm:f>
            <xm:f>$Q$12</xm:f>
            <x14:dxf>
              <fill>
                <patternFill>
                  <bgColor rgb="FFFF0000"/>
                </patternFill>
              </fill>
            </x14:dxf>
          </x14:cfRule>
          <x14:cfRule type="containsText" priority="5883" operator="containsText" id="{D7029604-94D5-4408-84C1-08CBD4972655}">
            <xm:f>NOT(ISERROR(SEARCH($Q$12,AN422)))</xm:f>
            <xm:f>$Q$12</xm:f>
            <x14:dxf>
              <fill>
                <patternFill>
                  <bgColor theme="9" tint="0.59996337778862885"/>
                </patternFill>
              </fill>
            </x14:dxf>
          </x14:cfRule>
          <x14:cfRule type="containsText" priority="5884" operator="containsText" id="{82C1C667-66EB-4988-BC79-2DC4DEA85D21}">
            <xm:f>NOT(ISERROR(SEARCH($Q$12,AN422)))</xm:f>
            <xm:f>$Q$12</xm:f>
            <x14:dxf>
              <fill>
                <patternFill>
                  <bgColor theme="9"/>
                </patternFill>
              </fill>
            </x14:dxf>
          </x14:cfRule>
          <x14:cfRule type="containsText" priority="5886" operator="containsText" id="{49A242C6-FA2A-40B1-929A-B7434F18C68D}">
            <xm:f>NOT(ISERROR(SEARCH($Q$12,AN422)))</xm:f>
            <xm:f>$Q$12</xm:f>
            <x14:dxf>
              <fill>
                <patternFill>
                  <bgColor rgb="FFFFC000"/>
                </patternFill>
              </fill>
            </x14:dxf>
          </x14:cfRule>
          <x14:cfRule type="containsText" priority="5887" operator="containsText" id="{9FAE283E-8C04-479D-9113-B92CACB63F1C}">
            <xm:f>NOT(ISERROR(SEARCH($Q$12,AN422)))</xm:f>
            <xm:f>$Q$12</xm:f>
            <x14:dxf>
              <fill>
                <patternFill>
                  <bgColor rgb="FFFF0000"/>
                </patternFill>
              </fill>
            </x14:dxf>
          </x14:cfRule>
          <x14:cfRule type="containsText" priority="5880" operator="containsText" id="{F7C02BA9-4DBF-45DF-B467-2F224F3A97A5}">
            <xm:f>NOT(ISERROR(SEARCH($Q$12,AN422)))</xm:f>
            <xm:f>$Q$12</xm:f>
            <x14:dxf>
              <fill>
                <patternFill>
                  <bgColor rgb="FFFFFF00"/>
                </patternFill>
              </fill>
            </x14:dxf>
          </x14:cfRule>
          <x14:cfRule type="containsText" priority="5877" operator="containsText" id="{BFD3FD69-2A28-4388-8829-F0E6B9EEFA8F}">
            <xm:f>NOT(ISERROR(SEARCH($Q$12,AN422)))</xm:f>
            <xm:f>$Q$12</xm:f>
            <x14:dxf>
              <fill>
                <patternFill>
                  <bgColor theme="9" tint="0.79998168889431442"/>
                </patternFill>
              </fill>
            </x14:dxf>
          </x14:cfRule>
          <xm:sqref>AN422</xm:sqref>
        </x14:conditionalFormatting>
        <x14:conditionalFormatting xmlns:xm="http://schemas.microsoft.com/office/excel/2006/main">
          <x14:cfRule type="containsText" priority="4845" operator="containsText" id="{B07F67B4-25E2-4B21-9692-7886AA93BDD2}">
            <xm:f>NOT(ISERROR(SEARCH($Q$12,AN532)))</xm:f>
            <xm:f>$Q$12</xm:f>
            <x14:dxf>
              <fill>
                <patternFill>
                  <bgColor rgb="FF00B050"/>
                </patternFill>
              </fill>
            </x14:dxf>
          </x14:cfRule>
          <x14:cfRule type="containsText" priority="4846" operator="containsText" id="{3AA43BBB-1C92-425A-94A8-12669A2F7EC6}">
            <xm:f>NOT(ISERROR(SEARCH($Q$12,AN532)))</xm:f>
            <xm:f>$Q$12</xm:f>
            <x14:dxf>
              <fill>
                <patternFill>
                  <bgColor rgb="FFFFFF00"/>
                </patternFill>
              </fill>
            </x14:dxf>
          </x14:cfRule>
          <x14:cfRule type="containsText" priority="4848" operator="containsText" id="{4A95893D-3512-48F9-A669-EA7395BFBAE7}">
            <xm:f>NOT(ISERROR(SEARCH($Q$12,AN532)))</xm:f>
            <xm:f>$Q$12</xm:f>
            <x14:dxf>
              <fill>
                <patternFill>
                  <bgColor rgb="FFFF0000"/>
                </patternFill>
              </fill>
            </x14:dxf>
          </x14:cfRule>
          <x14:cfRule type="containsText" priority="4849" operator="containsText" id="{65E41260-8F40-4675-8B2F-1BEC5CC21B73}">
            <xm:f>NOT(ISERROR(SEARCH($Q$12,AN532)))</xm:f>
            <xm:f>$Q$12</xm:f>
            <x14:dxf>
              <fill>
                <patternFill>
                  <bgColor theme="9" tint="0.59996337778862885"/>
                </patternFill>
              </fill>
            </x14:dxf>
          </x14:cfRule>
          <x14:cfRule type="containsText" priority="4850" operator="containsText" id="{E8A94603-D1C4-4F02-90AD-9C6ED3282494}">
            <xm:f>NOT(ISERROR(SEARCH($Q$12,AN532)))</xm:f>
            <xm:f>$Q$12</xm:f>
            <x14:dxf>
              <fill>
                <patternFill>
                  <bgColor theme="9"/>
                </patternFill>
              </fill>
            </x14:dxf>
          </x14:cfRule>
          <x14:cfRule type="containsText" priority="4852" operator="containsText" id="{8274E03D-DDFD-4C77-A818-08E38E6EF664}">
            <xm:f>NOT(ISERROR(SEARCH($Q$12,AN532)))</xm:f>
            <xm:f>$Q$12</xm:f>
            <x14:dxf>
              <fill>
                <patternFill>
                  <bgColor rgb="FFFFC000"/>
                </patternFill>
              </fill>
            </x14:dxf>
          </x14:cfRule>
          <x14:cfRule type="containsText" priority="4853" operator="containsText" id="{2D37CC43-78FA-4555-8630-12E342654C8D}">
            <xm:f>NOT(ISERROR(SEARCH($Q$12,AN532)))</xm:f>
            <xm:f>$Q$12</xm:f>
            <x14:dxf>
              <fill>
                <patternFill>
                  <bgColor rgb="FFFF0000"/>
                </patternFill>
              </fill>
            </x14:dxf>
          </x14:cfRule>
          <x14:cfRule type="containsText" priority="4847" operator="containsText" id="{F755CF2C-C183-4934-B060-2C618DBAA701}">
            <xm:f>NOT(ISERROR(SEARCH($Q$12,AN532)))</xm:f>
            <xm:f>$Q$12</xm:f>
            <x14:dxf>
              <fill>
                <patternFill>
                  <bgColor rgb="FFFFC000"/>
                </patternFill>
              </fill>
            </x14:dxf>
          </x14:cfRule>
          <x14:cfRule type="containsText" priority="4842" operator="containsText" id="{97A92FF0-13B0-498B-807E-264885EED7B0}">
            <xm:f>NOT(ISERROR(SEARCH($Q$12,AN532)))</xm:f>
            <xm:f>$Q$12</xm:f>
            <x14:dxf>
              <fill>
                <patternFill>
                  <bgColor rgb="FFFFFF00"/>
                </patternFill>
              </fill>
            </x14:dxf>
          </x14:cfRule>
          <x14:cfRule type="containsText" priority="4843" operator="containsText" id="{735B59FB-4DD2-4BFB-B35F-39EEB92A5922}">
            <xm:f>NOT(ISERROR(SEARCH($Q$12,AN532)))</xm:f>
            <xm:f>$Q$12</xm:f>
            <x14:dxf>
              <fill>
                <patternFill>
                  <bgColor theme="9" tint="0.79998168889431442"/>
                </patternFill>
              </fill>
            </x14:dxf>
          </x14:cfRule>
          <x14:cfRule type="containsText" priority="4844" operator="containsText" id="{E326B79A-46C2-4265-A6B9-3D2DABB65B9A}">
            <xm:f>NOT(ISERROR(SEARCH($Q$12,AN532)))</xm:f>
            <xm:f>$Q$12</xm:f>
            <x14:dxf>
              <fill>
                <patternFill>
                  <bgColor theme="9" tint="0.39994506668294322"/>
                </patternFill>
              </fill>
            </x14:dxf>
          </x14:cfRule>
          <xm:sqref>AN532</xm:sqref>
        </x14:conditionalFormatting>
        <x14:conditionalFormatting xmlns:xm="http://schemas.microsoft.com/office/excel/2006/main">
          <x14:cfRule type="containsText" priority="3733" operator="containsText" id="{06760649-4B9D-42FD-BA48-91BB5F25BA86}">
            <xm:f>NOT(ISERROR(SEARCH($Q$12,AN622)))</xm:f>
            <xm:f>$Q$12</xm:f>
            <x14:dxf>
              <fill>
                <patternFill>
                  <bgColor rgb="FFFF0000"/>
                </patternFill>
              </fill>
            </x14:dxf>
          </x14:cfRule>
          <x14:cfRule type="containsText" priority="3732" operator="containsText" id="{EE3F3C7E-F7E3-4799-AD0C-75610D2B57A3}">
            <xm:f>NOT(ISERROR(SEARCH($Q$12,AN622)))</xm:f>
            <xm:f>$Q$12</xm:f>
            <x14:dxf>
              <fill>
                <patternFill>
                  <bgColor rgb="FFFFC000"/>
                </patternFill>
              </fill>
            </x14:dxf>
          </x14:cfRule>
          <x14:cfRule type="containsText" priority="3730" operator="containsText" id="{2D9A25D7-EE2B-4EC9-825E-E9191535DB60}">
            <xm:f>NOT(ISERROR(SEARCH($Q$12,AN622)))</xm:f>
            <xm:f>$Q$12</xm:f>
            <x14:dxf>
              <fill>
                <patternFill>
                  <bgColor theme="9"/>
                </patternFill>
              </fill>
            </x14:dxf>
          </x14:cfRule>
          <x14:cfRule type="containsText" priority="3729" operator="containsText" id="{00A90C75-421B-4AA5-A499-B84647C72569}">
            <xm:f>NOT(ISERROR(SEARCH($Q$12,AN622)))</xm:f>
            <xm:f>$Q$12</xm:f>
            <x14:dxf>
              <fill>
                <patternFill>
                  <bgColor theme="9" tint="0.59996337778862885"/>
                </patternFill>
              </fill>
            </x14:dxf>
          </x14:cfRule>
          <x14:cfRule type="containsText" priority="3728" operator="containsText" id="{B7C8C811-A341-46B6-865B-98B311840149}">
            <xm:f>NOT(ISERROR(SEARCH($Q$12,AN622)))</xm:f>
            <xm:f>$Q$12</xm:f>
            <x14:dxf>
              <fill>
                <patternFill>
                  <bgColor rgb="FFFF0000"/>
                </patternFill>
              </fill>
            </x14:dxf>
          </x14:cfRule>
          <x14:cfRule type="containsText" priority="3727" operator="containsText" id="{F3CB9DE1-DE45-4287-9855-0889ED87B0F8}">
            <xm:f>NOT(ISERROR(SEARCH($Q$12,AN622)))</xm:f>
            <xm:f>$Q$12</xm:f>
            <x14:dxf>
              <fill>
                <patternFill>
                  <bgColor rgb="FFFFC000"/>
                </patternFill>
              </fill>
            </x14:dxf>
          </x14:cfRule>
          <x14:cfRule type="containsText" priority="3726" operator="containsText" id="{425E5D21-7260-4691-8BC7-BCD548F50C99}">
            <xm:f>NOT(ISERROR(SEARCH($Q$12,AN622)))</xm:f>
            <xm:f>$Q$12</xm:f>
            <x14:dxf>
              <fill>
                <patternFill>
                  <bgColor rgb="FFFFFF00"/>
                </patternFill>
              </fill>
            </x14:dxf>
          </x14:cfRule>
          <x14:cfRule type="containsText" priority="3725" operator="containsText" id="{328D0FC6-9BBC-4EF3-A451-0A409FBDC232}">
            <xm:f>NOT(ISERROR(SEARCH($Q$12,AN622)))</xm:f>
            <xm:f>$Q$12</xm:f>
            <x14:dxf>
              <fill>
                <patternFill>
                  <bgColor rgb="FF00B050"/>
                </patternFill>
              </fill>
            </x14:dxf>
          </x14:cfRule>
          <x14:cfRule type="containsText" priority="3724" operator="containsText" id="{E6FC7430-ED66-41FD-829C-90DBBAFC1F4D}">
            <xm:f>NOT(ISERROR(SEARCH($Q$12,AN622)))</xm:f>
            <xm:f>$Q$12</xm:f>
            <x14:dxf>
              <fill>
                <patternFill>
                  <bgColor theme="9" tint="0.39994506668294322"/>
                </patternFill>
              </fill>
            </x14:dxf>
          </x14:cfRule>
          <x14:cfRule type="containsText" priority="3723" operator="containsText" id="{72040B46-4881-436D-BC43-4A5BAB329ECB}">
            <xm:f>NOT(ISERROR(SEARCH($Q$12,AN622)))</xm:f>
            <xm:f>$Q$12</xm:f>
            <x14:dxf>
              <fill>
                <patternFill>
                  <bgColor theme="9" tint="0.79998168889431442"/>
                </patternFill>
              </fill>
            </x14:dxf>
          </x14:cfRule>
          <x14:cfRule type="containsText" priority="3722" operator="containsText" id="{FA547868-5557-467E-8A13-AFC6D8E234E9}">
            <xm:f>NOT(ISERROR(SEARCH($Q$12,AN622)))</xm:f>
            <xm:f>$Q$12</xm:f>
            <x14:dxf>
              <fill>
                <patternFill>
                  <bgColor rgb="FFFFFF00"/>
                </patternFill>
              </fill>
            </x14:dxf>
          </x14:cfRule>
          <xm:sqref>AN622</xm:sqref>
        </x14:conditionalFormatting>
        <x14:conditionalFormatting xmlns:xm="http://schemas.microsoft.com/office/excel/2006/main">
          <x14:cfRule type="containsText" priority="712" operator="containsText" id="{6AC68B8B-5EB9-4872-8E77-1FCA667C2E46}">
            <xm:f>NOT(ISERROR(SEARCH($Q$12,AN942)))</xm:f>
            <xm:f>$Q$12</xm:f>
            <x14:dxf>
              <fill>
                <patternFill>
                  <bgColor rgb="FFFFFF00"/>
                </patternFill>
              </fill>
            </x14:dxf>
          </x14:cfRule>
          <x14:cfRule type="containsText" priority="713" operator="containsText" id="{F2725B83-B0AC-4EFA-938A-05E44A37FE2D}">
            <xm:f>NOT(ISERROR(SEARCH($Q$12,AN942)))</xm:f>
            <xm:f>$Q$12</xm:f>
            <x14:dxf>
              <fill>
                <patternFill>
                  <bgColor theme="9" tint="0.79998168889431442"/>
                </patternFill>
              </fill>
            </x14:dxf>
          </x14:cfRule>
          <x14:cfRule type="containsText" priority="714" operator="containsText" id="{C56603A9-68E9-436F-9050-D548543D8BC5}">
            <xm:f>NOT(ISERROR(SEARCH($Q$12,AN942)))</xm:f>
            <xm:f>$Q$12</xm:f>
            <x14:dxf>
              <fill>
                <patternFill>
                  <bgColor theme="9" tint="0.39994506668294322"/>
                </patternFill>
              </fill>
            </x14:dxf>
          </x14:cfRule>
          <x14:cfRule type="containsText" priority="715" operator="containsText" id="{6CAA07C5-3A85-4790-A2C4-4E08213BE863}">
            <xm:f>NOT(ISERROR(SEARCH($Q$12,AN942)))</xm:f>
            <xm:f>$Q$12</xm:f>
            <x14:dxf>
              <fill>
                <patternFill>
                  <bgColor rgb="FF00B050"/>
                </patternFill>
              </fill>
            </x14:dxf>
          </x14:cfRule>
          <x14:cfRule type="containsText" priority="716" operator="containsText" id="{F3E31050-7B42-4936-B47B-F58F3FFFFA42}">
            <xm:f>NOT(ISERROR(SEARCH($Q$12,AN942)))</xm:f>
            <xm:f>$Q$12</xm:f>
            <x14:dxf>
              <fill>
                <patternFill>
                  <bgColor rgb="FFFFFF00"/>
                </patternFill>
              </fill>
            </x14:dxf>
          </x14:cfRule>
          <x14:cfRule type="containsText" priority="717" operator="containsText" id="{ADC7EFB4-EA09-4B9E-9A0F-E7A88E14609A}">
            <xm:f>NOT(ISERROR(SEARCH($Q$12,AN942)))</xm:f>
            <xm:f>$Q$12</xm:f>
            <x14:dxf>
              <fill>
                <patternFill>
                  <bgColor rgb="FFFFC000"/>
                </patternFill>
              </fill>
            </x14:dxf>
          </x14:cfRule>
          <x14:cfRule type="containsText" priority="718" operator="containsText" id="{F8A0C6B4-AA44-4D68-AE43-474B5C906D2B}">
            <xm:f>NOT(ISERROR(SEARCH($Q$12,AN942)))</xm:f>
            <xm:f>$Q$12</xm:f>
            <x14:dxf>
              <fill>
                <patternFill>
                  <bgColor rgb="FFFF0000"/>
                </patternFill>
              </fill>
            </x14:dxf>
          </x14:cfRule>
          <x14:cfRule type="containsText" priority="719" operator="containsText" id="{EA401D90-4DEA-435E-A4CC-35EEA3D62206}">
            <xm:f>NOT(ISERROR(SEARCH($Q$12,AN942)))</xm:f>
            <xm:f>$Q$12</xm:f>
            <x14:dxf>
              <fill>
                <patternFill>
                  <bgColor theme="9" tint="0.59996337778862885"/>
                </patternFill>
              </fill>
            </x14:dxf>
          </x14:cfRule>
          <x14:cfRule type="containsText" priority="720" operator="containsText" id="{8E1A1ED1-EDC0-4783-90F9-CB00DADDB96A}">
            <xm:f>NOT(ISERROR(SEARCH($Q$12,AN942)))</xm:f>
            <xm:f>$Q$12</xm:f>
            <x14:dxf>
              <fill>
                <patternFill>
                  <bgColor theme="9"/>
                </patternFill>
              </fill>
            </x14:dxf>
          </x14:cfRule>
          <x14:cfRule type="containsText" priority="723" operator="containsText" id="{3E32A8B9-493D-4BC4-BCAA-66D3068ED858}">
            <xm:f>NOT(ISERROR(SEARCH($Q$12,AN942)))</xm:f>
            <xm:f>$Q$12</xm:f>
            <x14:dxf>
              <fill>
                <patternFill>
                  <bgColor rgb="FFFF0000"/>
                </patternFill>
              </fill>
            </x14:dxf>
          </x14:cfRule>
          <x14:cfRule type="containsText" priority="722" operator="containsText" id="{9C42059D-4B2C-4296-B2E3-A0D747A5F669}">
            <xm:f>NOT(ISERROR(SEARCH($Q$12,AN942)))</xm:f>
            <xm:f>$Q$12</xm:f>
            <x14:dxf>
              <fill>
                <patternFill>
                  <bgColor rgb="FFFFC000"/>
                </patternFill>
              </fill>
            </x14:dxf>
          </x14:cfRule>
          <xm:sqref>AN942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53125" defaultRowHeight="14.5" x14ac:dyDescent="0.35"/>
  <cols>
    <col min="1" max="1" width="15.54296875" customWidth="1"/>
    <col min="2" max="2" width="32.54296875" customWidth="1"/>
    <col min="3" max="3" width="16.54296875" customWidth="1"/>
    <col min="4" max="4" width="14.453125" customWidth="1"/>
    <col min="5" max="5" width="13.81640625" customWidth="1"/>
    <col min="8" max="8" width="10.81640625" customWidth="1"/>
    <col min="10" max="10" width="16.1796875" customWidth="1"/>
    <col min="25" max="25" width="47.7265625" customWidth="1"/>
    <col min="30" max="30" width="15.1796875" customWidth="1"/>
    <col min="32" max="32" width="27.1796875" customWidth="1"/>
    <col min="33" max="33" width="44" customWidth="1"/>
  </cols>
  <sheetData>
    <row r="3" spans="1:33" ht="15" thickBot="1" x14ac:dyDescent="0.4">
      <c r="O3" s="890" t="s">
        <v>177</v>
      </c>
      <c r="P3" s="891"/>
      <c r="Q3" s="891"/>
      <c r="R3" s="891"/>
      <c r="S3" s="891"/>
      <c r="T3" s="891"/>
      <c r="U3" s="891"/>
      <c r="V3" s="892"/>
    </row>
    <row r="4" spans="1:33" ht="16" thickBot="1" x14ac:dyDescent="0.4">
      <c r="A4" s="49"/>
      <c r="B4" s="50"/>
      <c r="C4" s="877" t="s">
        <v>1096</v>
      </c>
      <c r="D4" s="878"/>
      <c r="E4" s="879"/>
      <c r="G4" s="880" t="s">
        <v>177</v>
      </c>
      <c r="H4" s="881"/>
      <c r="I4" s="881"/>
      <c r="J4" s="881"/>
      <c r="K4" s="881"/>
      <c r="L4" s="881"/>
      <c r="M4" s="882"/>
      <c r="N4" s="46"/>
      <c r="O4" s="104"/>
      <c r="P4" s="47"/>
      <c r="Q4" s="48"/>
      <c r="R4" s="893" t="s">
        <v>70</v>
      </c>
      <c r="S4" s="893"/>
      <c r="T4" s="893"/>
      <c r="U4" s="893"/>
      <c r="V4" s="893"/>
      <c r="X4" s="883" t="s">
        <v>179</v>
      </c>
      <c r="Y4" s="884"/>
      <c r="Z4" s="885"/>
      <c r="AA4" s="885"/>
      <c r="AB4" s="886"/>
      <c r="AC4" s="78"/>
      <c r="AD4" s="887" t="s">
        <v>178</v>
      </c>
      <c r="AE4" s="888"/>
      <c r="AF4" s="888"/>
      <c r="AG4" s="889"/>
    </row>
    <row r="5" spans="1:33" ht="54.75" customHeight="1" x14ac:dyDescent="0.35">
      <c r="A5" s="56" t="s">
        <v>1097</v>
      </c>
      <c r="B5" s="57" t="s">
        <v>1098</v>
      </c>
      <c r="C5" s="42" t="s">
        <v>179</v>
      </c>
      <c r="D5" s="42" t="s">
        <v>178</v>
      </c>
      <c r="E5" s="58" t="s">
        <v>1099</v>
      </c>
      <c r="G5" s="52"/>
      <c r="H5" s="53"/>
      <c r="I5" s="893" t="s">
        <v>70</v>
      </c>
      <c r="J5" s="893"/>
      <c r="K5" s="893"/>
      <c r="L5" s="893"/>
      <c r="M5" s="894"/>
      <c r="N5" s="51"/>
      <c r="O5" s="105"/>
      <c r="P5" s="54"/>
      <c r="Q5" s="106" t="s">
        <v>192</v>
      </c>
      <c r="R5" s="55">
        <v>0.2</v>
      </c>
      <c r="S5" s="55">
        <v>0.4</v>
      </c>
      <c r="T5" s="55">
        <v>0.6</v>
      </c>
      <c r="U5" s="55">
        <v>0.8</v>
      </c>
      <c r="V5" s="55">
        <v>1</v>
      </c>
      <c r="X5" s="79" t="s">
        <v>183</v>
      </c>
      <c r="Y5" s="80" t="s">
        <v>187</v>
      </c>
      <c r="Z5" s="81" t="s">
        <v>188</v>
      </c>
      <c r="AA5" s="81" t="s">
        <v>189</v>
      </c>
      <c r="AB5" s="82" t="s">
        <v>60</v>
      </c>
      <c r="AC5" s="83"/>
      <c r="AD5" s="79" t="s">
        <v>183</v>
      </c>
      <c r="AE5" s="80" t="s">
        <v>184</v>
      </c>
      <c r="AF5" s="80" t="s">
        <v>185</v>
      </c>
      <c r="AG5" s="82" t="s">
        <v>186</v>
      </c>
    </row>
    <row r="6" spans="1:33" ht="31" x14ac:dyDescent="0.35">
      <c r="A6" s="64" t="str">
        <f>'[1]2 CONTEXTO E IDENTIFICACIÓN'!A9</f>
        <v>R1</v>
      </c>
      <c r="B6" s="65"/>
      <c r="C6" s="66" t="str">
        <f>+'[1]3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193</v>
      </c>
      <c r="J6" s="60" t="s">
        <v>201</v>
      </c>
      <c r="K6" s="60" t="s">
        <v>83</v>
      </c>
      <c r="L6" s="60" t="s">
        <v>202</v>
      </c>
      <c r="M6" s="61" t="s">
        <v>203</v>
      </c>
      <c r="N6" s="51"/>
      <c r="O6" s="105"/>
      <c r="P6" s="54"/>
      <c r="Q6" s="62" t="s">
        <v>200</v>
      </c>
      <c r="R6" s="63" t="s">
        <v>193</v>
      </c>
      <c r="S6" s="63" t="s">
        <v>201</v>
      </c>
      <c r="T6" s="63" t="s">
        <v>83</v>
      </c>
      <c r="U6" s="63" t="s">
        <v>202</v>
      </c>
      <c r="V6" s="63" t="s">
        <v>203</v>
      </c>
      <c r="W6" s="103" t="s">
        <v>192</v>
      </c>
      <c r="X6" s="84" t="s">
        <v>196</v>
      </c>
      <c r="Y6" s="85" t="s">
        <v>197</v>
      </c>
      <c r="Z6" s="86">
        <v>0</v>
      </c>
      <c r="AA6" s="86">
        <v>2</v>
      </c>
      <c r="AB6" s="87">
        <v>0.2</v>
      </c>
      <c r="AC6" s="88"/>
      <c r="AD6" s="84" t="s">
        <v>193</v>
      </c>
      <c r="AE6" s="89">
        <v>0.2</v>
      </c>
      <c r="AF6" s="85" t="s">
        <v>194</v>
      </c>
      <c r="AG6" s="90" t="s">
        <v>195</v>
      </c>
    </row>
    <row r="7" spans="1:33" ht="62" x14ac:dyDescent="0.35">
      <c r="A7" s="64" t="str">
        <f>'[1]2 CONTEXTO E IDENTIFICACIÓN'!A10</f>
        <v>R2</v>
      </c>
      <c r="B7" s="65" t="e" cm="1">
        <f t="array" ref="B7">'Matriz de Riesgos'!#REF!</f>
        <v>#REF!</v>
      </c>
      <c r="C7" s="66" t="str">
        <f>+'[1]3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874" t="s">
        <v>60</v>
      </c>
      <c r="H7" s="60" t="s">
        <v>210</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876" t="s">
        <v>60</v>
      </c>
      <c r="P7" s="70">
        <v>1</v>
      </c>
      <c r="Q7" s="63" t="s">
        <v>210</v>
      </c>
      <c r="R7" s="68" t="s">
        <v>81</v>
      </c>
      <c r="S7" s="68" t="s">
        <v>81</v>
      </c>
      <c r="T7" s="68" t="s">
        <v>81</v>
      </c>
      <c r="U7" s="68" t="s">
        <v>81</v>
      </c>
      <c r="V7" s="107" t="s">
        <v>77</v>
      </c>
      <c r="X7" s="91" t="s">
        <v>206</v>
      </c>
      <c r="Y7" s="92" t="s">
        <v>207</v>
      </c>
      <c r="Z7" s="86">
        <v>3</v>
      </c>
      <c r="AA7" s="86">
        <v>24</v>
      </c>
      <c r="AB7" s="87">
        <v>0.4</v>
      </c>
      <c r="AC7" s="88"/>
      <c r="AD7" s="91" t="s">
        <v>201</v>
      </c>
      <c r="AE7" s="89">
        <v>0.4</v>
      </c>
      <c r="AF7" s="92" t="s">
        <v>204</v>
      </c>
      <c r="AG7" s="93" t="s">
        <v>205</v>
      </c>
    </row>
    <row r="8" spans="1:33" ht="46.5" x14ac:dyDescent="0.35">
      <c r="A8" s="64" t="str">
        <f>'[1]2 CONTEXTO E IDENTIFICACIÓN'!A11</f>
        <v>R3</v>
      </c>
      <c r="B8" s="65"/>
      <c r="C8" s="66" t="str">
        <f>+'[1]3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874"/>
      <c r="H8" s="60" t="s">
        <v>217</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876"/>
      <c r="P8" s="70">
        <v>0.8</v>
      </c>
      <c r="Q8" s="63" t="s">
        <v>217</v>
      </c>
      <c r="R8" s="71" t="s">
        <v>83</v>
      </c>
      <c r="S8" s="71" t="s">
        <v>83</v>
      </c>
      <c r="T8" s="68" t="s">
        <v>81</v>
      </c>
      <c r="U8" s="68" t="s">
        <v>81</v>
      </c>
      <c r="V8" s="107" t="s">
        <v>77</v>
      </c>
      <c r="X8" s="94" t="s">
        <v>213</v>
      </c>
      <c r="Y8" s="92" t="s">
        <v>214</v>
      </c>
      <c r="Z8" s="86">
        <v>25</v>
      </c>
      <c r="AA8" s="86">
        <v>500</v>
      </c>
      <c r="AB8" s="87">
        <v>0.6</v>
      </c>
      <c r="AC8" s="88"/>
      <c r="AD8" s="94" t="s">
        <v>83</v>
      </c>
      <c r="AE8" s="89">
        <v>0.6</v>
      </c>
      <c r="AF8" s="92" t="s">
        <v>211</v>
      </c>
      <c r="AG8" s="93" t="s">
        <v>212</v>
      </c>
    </row>
    <row r="9" spans="1:33" ht="62" x14ac:dyDescent="0.35">
      <c r="A9" s="64" t="str">
        <f>'[1]2 CONTEXTO E IDENTIFICACIÓN'!A12</f>
        <v>R4</v>
      </c>
      <c r="B9" s="65"/>
      <c r="C9" s="66" t="str">
        <f>+'[1]3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874"/>
      <c r="H9" s="60" t="s">
        <v>213</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876"/>
      <c r="P9" s="70">
        <v>0.6</v>
      </c>
      <c r="Q9" s="63" t="s">
        <v>213</v>
      </c>
      <c r="R9" s="71" t="s">
        <v>83</v>
      </c>
      <c r="S9" s="71" t="s">
        <v>83</v>
      </c>
      <c r="T9" s="71" t="s">
        <v>83</v>
      </c>
      <c r="U9" s="68" t="s">
        <v>81</v>
      </c>
      <c r="V9" s="107" t="s">
        <v>77</v>
      </c>
      <c r="X9" s="95" t="s">
        <v>217</v>
      </c>
      <c r="Y9" s="92" t="s">
        <v>169</v>
      </c>
      <c r="Z9" s="86">
        <v>5001</v>
      </c>
      <c r="AA9" s="86">
        <v>5000</v>
      </c>
      <c r="AB9" s="87">
        <v>0.8</v>
      </c>
      <c r="AC9" s="88"/>
      <c r="AD9" s="95" t="s">
        <v>202</v>
      </c>
      <c r="AE9" s="89">
        <v>0.8</v>
      </c>
      <c r="AF9" s="92" t="s">
        <v>218</v>
      </c>
      <c r="AG9" s="93" t="s">
        <v>219</v>
      </c>
    </row>
    <row r="10" spans="1:33" ht="46.5" x14ac:dyDescent="0.35">
      <c r="A10" s="64" t="str">
        <f>'[1]2 CONTEXTO E IDENTIFICACIÓN'!A13</f>
        <v>R5</v>
      </c>
      <c r="B10" s="65"/>
      <c r="C10" s="66" t="str">
        <f>+'[1]3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874"/>
      <c r="H10" s="60" t="s">
        <v>206</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876"/>
      <c r="P10" s="70">
        <v>0.4</v>
      </c>
      <c r="Q10" s="63" t="s">
        <v>206</v>
      </c>
      <c r="R10" s="72" t="s">
        <v>86</v>
      </c>
      <c r="S10" s="71" t="s">
        <v>83</v>
      </c>
      <c r="T10" s="71" t="s">
        <v>83</v>
      </c>
      <c r="U10" s="68" t="s">
        <v>81</v>
      </c>
      <c r="V10" s="107" t="s">
        <v>77</v>
      </c>
      <c r="X10" s="96" t="s">
        <v>210</v>
      </c>
      <c r="Y10" s="92" t="s">
        <v>222</v>
      </c>
      <c r="Z10" s="86">
        <v>5001</v>
      </c>
      <c r="AA10" s="86"/>
      <c r="AB10" s="87">
        <v>1</v>
      </c>
      <c r="AC10" s="88"/>
      <c r="AD10" s="96" t="s">
        <v>203</v>
      </c>
      <c r="AE10" s="89">
        <v>1</v>
      </c>
      <c r="AF10" s="92" t="s">
        <v>221</v>
      </c>
      <c r="AG10" s="93" t="s">
        <v>170</v>
      </c>
    </row>
    <row r="11" spans="1:33" ht="47" thickBot="1" x14ac:dyDescent="0.4">
      <c r="A11" s="64" t="str">
        <f>'[1]2 CONTEXTO E IDENTIFICACIÓN'!A14</f>
        <v>R6</v>
      </c>
      <c r="B11" s="65"/>
      <c r="C11" s="66" t="str">
        <f>+'[1]3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875"/>
      <c r="H11" s="73" t="s">
        <v>196</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876"/>
      <c r="P11" s="70">
        <v>0.2</v>
      </c>
      <c r="Q11" s="63" t="s">
        <v>196</v>
      </c>
      <c r="R11" s="72" t="s">
        <v>86</v>
      </c>
      <c r="S11" s="72" t="s">
        <v>86</v>
      </c>
      <c r="T11" s="71" t="s">
        <v>83</v>
      </c>
      <c r="U11" s="68" t="s">
        <v>81</v>
      </c>
      <c r="V11" s="107" t="s">
        <v>77</v>
      </c>
      <c r="X11" s="97"/>
      <c r="Y11" s="98"/>
      <c r="Z11" s="99"/>
      <c r="AA11" s="99"/>
      <c r="AB11" s="100"/>
      <c r="AC11" s="88"/>
      <c r="AD11" s="97"/>
      <c r="AE11" s="98"/>
      <c r="AF11" s="90" t="s">
        <v>195</v>
      </c>
      <c r="AG11" s="100" t="s">
        <v>1100</v>
      </c>
    </row>
    <row r="12" spans="1:33" ht="108.5" x14ac:dyDescent="0.35">
      <c r="A12" s="64" t="str">
        <f>'[1]2 CONTEXTO E IDENTIFICACIÓN'!A15</f>
        <v>R7</v>
      </c>
      <c r="B12" s="65"/>
      <c r="C12" s="66" t="str">
        <f>+'[1]3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205</v>
      </c>
    </row>
    <row r="13" spans="1:33" ht="77.5" x14ac:dyDescent="0.35">
      <c r="A13" s="64" t="str">
        <f>'[1]2 CONTEXTO E IDENTIFICACIÓN'!A16</f>
        <v>R8</v>
      </c>
      <c r="B13" s="65"/>
      <c r="C13" s="66" t="str">
        <f>+'[1]3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212</v>
      </c>
    </row>
    <row r="14" spans="1:33" ht="108.5" x14ac:dyDescent="0.35">
      <c r="A14" s="64" t="str">
        <f>'[1]2 CONTEXTO E IDENTIFICACIÓN'!A17</f>
        <v>R9</v>
      </c>
      <c r="B14" s="65"/>
      <c r="C14" s="66" t="str">
        <f>+'[1]3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219</v>
      </c>
    </row>
    <row r="15" spans="1:33" ht="77.5" x14ac:dyDescent="0.35">
      <c r="AF15" s="93" t="s">
        <v>170</v>
      </c>
    </row>
    <row r="20" spans="1:4" ht="15.5" x14ac:dyDescent="0.35">
      <c r="B20" s="82" t="s">
        <v>186</v>
      </c>
    </row>
    <row r="21" spans="1:4" ht="15.5" x14ac:dyDescent="0.35">
      <c r="B21" s="80" t="s">
        <v>185</v>
      </c>
    </row>
    <row r="22" spans="1:4" ht="31" x14ac:dyDescent="0.35">
      <c r="B22" s="101" t="s">
        <v>168</v>
      </c>
    </row>
    <row r="23" spans="1:4" x14ac:dyDescent="0.35">
      <c r="B23" s="18" t="s">
        <v>1101</v>
      </c>
    </row>
    <row r="26" spans="1:4" ht="26" x14ac:dyDescent="0.35">
      <c r="A26" s="79" t="s">
        <v>183</v>
      </c>
      <c r="B26" s="82" t="s">
        <v>186</v>
      </c>
      <c r="D26" s="18" t="s">
        <v>1101</v>
      </c>
    </row>
    <row r="27" spans="1:4" ht="31" x14ac:dyDescent="0.35">
      <c r="A27" s="84" t="s">
        <v>193</v>
      </c>
      <c r="B27" s="90" t="s">
        <v>195</v>
      </c>
      <c r="D27" s="102" t="s">
        <v>83</v>
      </c>
    </row>
    <row r="28" spans="1:4" ht="77.5" x14ac:dyDescent="0.35">
      <c r="A28" s="91" t="s">
        <v>201</v>
      </c>
      <c r="B28" s="93" t="s">
        <v>205</v>
      </c>
      <c r="D28" s="102" t="s">
        <v>202</v>
      </c>
    </row>
    <row r="29" spans="1:4" ht="62" x14ac:dyDescent="0.35">
      <c r="A29" s="94" t="s">
        <v>83</v>
      </c>
      <c r="B29" s="93" t="s">
        <v>212</v>
      </c>
      <c r="D29" s="102" t="s">
        <v>203</v>
      </c>
    </row>
    <row r="30" spans="1:4" ht="77.5" x14ac:dyDescent="0.35">
      <c r="A30" s="95" t="s">
        <v>202</v>
      </c>
      <c r="B30" s="93" t="s">
        <v>219</v>
      </c>
    </row>
    <row r="31" spans="1:4" ht="62" x14ac:dyDescent="0.35">
      <c r="A31" s="96" t="s">
        <v>203</v>
      </c>
      <c r="B31" s="93" t="s">
        <v>170</v>
      </c>
    </row>
    <row r="33" spans="1:2" ht="15.5" x14ac:dyDescent="0.35">
      <c r="A33" s="79" t="s">
        <v>183</v>
      </c>
      <c r="B33" s="80" t="s">
        <v>185</v>
      </c>
    </row>
    <row r="34" spans="1:2" ht="15.5" x14ac:dyDescent="0.35">
      <c r="A34" s="84" t="s">
        <v>193</v>
      </c>
      <c r="B34" s="85" t="s">
        <v>194</v>
      </c>
    </row>
    <row r="35" spans="1:2" ht="15.5" x14ac:dyDescent="0.35">
      <c r="A35" s="91" t="s">
        <v>201</v>
      </c>
      <c r="B35" s="92" t="s">
        <v>204</v>
      </c>
    </row>
    <row r="36" spans="1:2" ht="15.5" x14ac:dyDescent="0.35">
      <c r="A36" s="94" t="s">
        <v>83</v>
      </c>
      <c r="B36" s="92" t="s">
        <v>211</v>
      </c>
    </row>
    <row r="37" spans="1:2" ht="15.5" x14ac:dyDescent="0.35">
      <c r="A37" s="95" t="s">
        <v>202</v>
      </c>
      <c r="B37" s="92" t="s">
        <v>218</v>
      </c>
    </row>
    <row r="38" spans="1:2" ht="15.5" x14ac:dyDescent="0.35">
      <c r="A38" s="96" t="s">
        <v>203</v>
      </c>
      <c r="B38" s="92" t="s">
        <v>221</v>
      </c>
    </row>
    <row r="39" spans="1:2" ht="15.5" x14ac:dyDescent="0.35">
      <c r="B39" s="92"/>
    </row>
    <row r="40" spans="1:2" ht="31" x14ac:dyDescent="0.35">
      <c r="B40" s="101" t="s">
        <v>168</v>
      </c>
    </row>
    <row r="41" spans="1:2" ht="15.5" x14ac:dyDescent="0.35">
      <c r="B41" s="85" t="s">
        <v>194</v>
      </c>
    </row>
    <row r="42" spans="1:2" ht="15.5" x14ac:dyDescent="0.35">
      <c r="B42" s="92" t="s">
        <v>204</v>
      </c>
    </row>
    <row r="43" spans="1:2" ht="15.5" x14ac:dyDescent="0.35">
      <c r="B43" s="92" t="s">
        <v>211</v>
      </c>
    </row>
    <row r="44" spans="1:2" ht="15.5" x14ac:dyDescent="0.35">
      <c r="B44" s="92" t="s">
        <v>218</v>
      </c>
    </row>
    <row r="45" spans="1:2" ht="15.5" x14ac:dyDescent="0.35">
      <c r="B45" s="92" t="s">
        <v>221</v>
      </c>
    </row>
    <row r="46" spans="1:2" ht="31" x14ac:dyDescent="0.35">
      <c r="B46" s="90" t="s">
        <v>195</v>
      </c>
    </row>
    <row r="47" spans="1:2" ht="77.5" x14ac:dyDescent="0.35">
      <c r="B47" s="93" t="s">
        <v>205</v>
      </c>
    </row>
    <row r="48" spans="1:2" ht="62" x14ac:dyDescent="0.35">
      <c r="B48" s="93" t="s">
        <v>212</v>
      </c>
    </row>
    <row r="49" spans="2:2" ht="77.5" x14ac:dyDescent="0.35">
      <c r="B49" s="93" t="s">
        <v>219</v>
      </c>
    </row>
    <row r="50" spans="2:2" ht="62" x14ac:dyDescent="0.35">
      <c r="B50" s="93" t="s">
        <v>170</v>
      </c>
    </row>
  </sheetData>
  <mergeCells count="9">
    <mergeCell ref="AD4:AG4"/>
    <mergeCell ref="O3:V3"/>
    <mergeCell ref="R4:V4"/>
    <mergeCell ref="I5:M5"/>
    <mergeCell ref="G7:G11"/>
    <mergeCell ref="O7:O11"/>
    <mergeCell ref="C4:E4"/>
    <mergeCell ref="G4:M4"/>
    <mergeCell ref="X4:AB4"/>
  </mergeCells>
  <conditionalFormatting sqref="C6:C14">
    <cfRule type="cellIs" dxfId="8130" priority="4104" operator="equal">
      <formula>$Q$10</formula>
    </cfRule>
    <cfRule type="cellIs" dxfId="8129" priority="4105" operator="equal">
      <formula>$Q$9</formula>
    </cfRule>
    <cfRule type="cellIs" dxfId="8128" priority="4106" operator="equal">
      <formula>$Q$8</formula>
    </cfRule>
    <cfRule type="cellIs" dxfId="8127" priority="4107" operator="equal">
      <formula>$Q$7</formula>
    </cfRule>
    <cfRule type="cellIs" dxfId="8126" priority="4108" operator="equal">
      <formula>$Q$6</formula>
    </cfRule>
  </conditionalFormatting>
  <conditionalFormatting sqref="D6:D14">
    <cfRule type="cellIs" dxfId="8125" priority="4109" operator="equal">
      <formula>#REF!</formula>
    </cfRule>
    <cfRule type="cellIs" dxfId="8124" priority="4110" operator="equal">
      <formula>#REF!</formula>
    </cfRule>
    <cfRule type="cellIs" dxfId="8123" priority="4111" operator="equal">
      <formula>#REF!</formula>
    </cfRule>
    <cfRule type="cellIs" dxfId="8122" priority="4112" operator="equal">
      <formula>#REF!</formula>
    </cfRule>
    <cfRule type="cellIs" dxfId="8121" priority="4113" operator="equal">
      <formula>#REF!</formula>
    </cfRule>
  </conditionalFormatting>
  <conditionalFormatting sqref="E6:E14">
    <cfRule type="cellIs" dxfId="8120" priority="4114" operator="equal">
      <formula>$R$13</formula>
    </cfRule>
    <cfRule type="cellIs" dxfId="8119" priority="4115" operator="equal">
      <formula>$R$14</formula>
    </cfRule>
    <cfRule type="cellIs" dxfId="8118" priority="4116" operator="equal">
      <formula>$R$15</formula>
    </cfRule>
    <cfRule type="cellIs" dxfId="8117" priority="4117" operator="equal">
      <formula>$R$16</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53125" defaultRowHeight="12.5" x14ac:dyDescent="0.35"/>
  <cols>
    <col min="1" max="1" width="3.26953125" style="8" customWidth="1"/>
    <col min="2" max="2" width="27.81640625" style="8" customWidth="1"/>
    <col min="3" max="5" width="16.7265625" style="8" customWidth="1"/>
    <col min="6" max="6" width="11.453125" style="8"/>
    <col min="7" max="7" width="38" style="8" customWidth="1"/>
    <col min="8" max="8" width="3.453125" style="8" customWidth="1"/>
    <col min="9" max="9" width="11.453125" style="8" customWidth="1"/>
    <col min="10" max="16384" width="11.453125" style="8"/>
  </cols>
  <sheetData>
    <row r="2" spans="2:6" ht="13" x14ac:dyDescent="0.35">
      <c r="B2" s="11" t="s">
        <v>4</v>
      </c>
    </row>
    <row r="4" spans="2:6" ht="13" x14ac:dyDescent="0.35">
      <c r="B4" s="895"/>
      <c r="C4" s="12" t="s">
        <v>1102</v>
      </c>
      <c r="D4" s="13" t="s">
        <v>1103</v>
      </c>
      <c r="E4" s="14" t="s">
        <v>1104</v>
      </c>
    </row>
    <row r="5" spans="2:6" ht="13" x14ac:dyDescent="0.35">
      <c r="B5" s="895"/>
      <c r="C5" s="15" t="s">
        <v>70</v>
      </c>
      <c r="D5" s="16" t="s">
        <v>1105</v>
      </c>
      <c r="E5" s="17" t="s">
        <v>1106</v>
      </c>
    </row>
    <row r="6" spans="2:6" x14ac:dyDescent="0.35">
      <c r="B6" s="9" t="s">
        <v>1107</v>
      </c>
      <c r="C6" s="10"/>
      <c r="D6" s="10"/>
      <c r="E6" s="10"/>
    </row>
    <row r="8" spans="2:6" ht="13" x14ac:dyDescent="0.35">
      <c r="B8" s="11" t="s">
        <v>1108</v>
      </c>
    </row>
    <row r="10" spans="2:6" ht="26" x14ac:dyDescent="0.35">
      <c r="B10" s="18" t="s">
        <v>1109</v>
      </c>
      <c r="C10" s="12" t="s">
        <v>1110</v>
      </c>
      <c r="D10" s="13" t="s">
        <v>1111</v>
      </c>
      <c r="E10" s="14" t="s">
        <v>1112</v>
      </c>
    </row>
    <row r="11" spans="2:6" ht="50" x14ac:dyDescent="0.35">
      <c r="B11" s="9" t="s">
        <v>1113</v>
      </c>
      <c r="C11" s="10"/>
      <c r="D11" s="10"/>
      <c r="E11" s="10"/>
    </row>
    <row r="13" spans="2:6" ht="13" x14ac:dyDescent="0.35">
      <c r="B13" s="11" t="s">
        <v>1</v>
      </c>
    </row>
    <row r="15" spans="2:6" ht="39" x14ac:dyDescent="0.35">
      <c r="B15" s="18" t="s">
        <v>1114</v>
      </c>
      <c r="C15" s="18" t="s">
        <v>1115</v>
      </c>
      <c r="D15" s="18" t="s">
        <v>1116</v>
      </c>
      <c r="E15" s="18" t="s">
        <v>1117</v>
      </c>
      <c r="F15" s="18" t="s">
        <v>1118</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EE8536-F7C7-4225-AE87-918DCCB08CD5}">
  <ds:schemaRefs>
    <ds:schemaRef ds:uri="http://schemas.microsoft.com/sharepoint/v3/contenttype/forms"/>
  </ds:schemaRefs>
</ds:datastoreItem>
</file>

<file path=customXml/itemProps2.xml><?xml version="1.0" encoding="utf-8"?>
<ds:datastoreItem xmlns:ds="http://schemas.openxmlformats.org/officeDocument/2006/customXml" ds:itemID="{432F8F08-667A-4884-B278-3071C9A53D8C}">
  <ds:schemaRefs>
    <ds:schemaRef ds:uri="http://schemas.microsoft.com/office/2006/metadata/properties"/>
    <ds:schemaRef ds:uri="http://schemas.microsoft.com/office/infopath/2007/PartnerControls"/>
    <ds:schemaRef ds:uri="5ebb93a5-f66b-41e3-99ee-5919072d97e8"/>
    <ds:schemaRef ds:uri="82390ead-db08-4028-aea8-ff81b0e172c5"/>
  </ds:schemaRefs>
</ds:datastoreItem>
</file>

<file path=customXml/itemProps3.xml><?xml version="1.0" encoding="utf-8"?>
<ds:datastoreItem xmlns:ds="http://schemas.openxmlformats.org/officeDocument/2006/customXml" ds:itemID="{E837546A-06BD-4191-AE4D-2FF165F80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38</vt:i4>
      </vt:variant>
    </vt:vector>
  </HeadingPairs>
  <TitlesOfParts>
    <vt:vector size="42" baseType="lpstr">
      <vt:lpstr>Listas</vt:lpstr>
      <vt:lpstr>Matriz de Riesgos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2025-05-07T16:44:43Z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